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activeTab="4"/>
  </bookViews>
  <sheets>
    <sheet name="Q1" sheetId="4" r:id="rId1"/>
    <sheet name="Q2" sheetId="1" r:id="rId2"/>
    <sheet name="Q3" sheetId="2" r:id="rId3"/>
    <sheet name="Q4" sheetId="3" r:id="rId4"/>
    <sheet name="Q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5" l="1"/>
  <c r="I22" i="5"/>
  <c r="I21" i="5"/>
  <c r="G22" i="5"/>
  <c r="G21" i="5"/>
  <c r="H18" i="5"/>
  <c r="H17" i="5"/>
  <c r="J5" i="5"/>
  <c r="J6" i="5"/>
  <c r="J7" i="5"/>
  <c r="J8" i="5"/>
  <c r="J9" i="5"/>
  <c r="J10" i="5"/>
  <c r="J11" i="5"/>
  <c r="J12" i="5"/>
  <c r="J13" i="5"/>
  <c r="J14" i="5"/>
  <c r="J4" i="5"/>
  <c r="D31" i="1"/>
  <c r="H16" i="5"/>
  <c r="H5" i="5"/>
  <c r="H6" i="5"/>
  <c r="H7" i="5"/>
  <c r="H8" i="5"/>
  <c r="H9" i="5"/>
  <c r="H10" i="5"/>
  <c r="H11" i="5"/>
  <c r="H12" i="5"/>
  <c r="H13" i="5"/>
  <c r="H14" i="5"/>
  <c r="H4" i="5"/>
  <c r="D16" i="1"/>
  <c r="D29" i="1"/>
  <c r="G4" i="5"/>
  <c r="G5" i="5"/>
  <c r="G6" i="5"/>
  <c r="G7" i="5"/>
  <c r="G8" i="5"/>
  <c r="G9" i="5"/>
  <c r="G10" i="5"/>
  <c r="G11" i="5"/>
  <c r="G12" i="5"/>
  <c r="G13" i="5"/>
  <c r="G14" i="5"/>
  <c r="G3" i="5"/>
  <c r="D50" i="4" a="1"/>
  <c r="D50" i="4" s="1"/>
  <c r="D28" i="4"/>
  <c r="C28" i="4"/>
  <c r="E28" i="4"/>
  <c r="E31" i="4"/>
  <c r="D31" i="4"/>
  <c r="C31" i="4"/>
  <c r="B31" i="4"/>
  <c r="C30" i="4"/>
  <c r="D51" i="3"/>
  <c r="D50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27" i="3"/>
  <c r="B49" i="3"/>
  <c r="H31" i="3"/>
  <c r="H30" i="3"/>
  <c r="H29" i="3"/>
  <c r="B27" i="3"/>
  <c r="B28" i="3"/>
  <c r="C23" i="2"/>
  <c r="C20" i="2"/>
  <c r="C18" i="2"/>
  <c r="C17" i="2"/>
  <c r="C16" i="2"/>
  <c r="D37" i="1"/>
  <c r="D30" i="1"/>
  <c r="G29" i="1"/>
  <c r="G17" i="1"/>
  <c r="G18" i="1"/>
  <c r="G19" i="1"/>
  <c r="G20" i="1"/>
  <c r="G21" i="1"/>
  <c r="G22" i="1"/>
  <c r="G23" i="1"/>
  <c r="G24" i="1"/>
  <c r="G25" i="1"/>
  <c r="G26" i="1"/>
  <c r="G16" i="1"/>
  <c r="D17" i="1"/>
  <c r="D18" i="1"/>
  <c r="D19" i="1"/>
  <c r="D20" i="1"/>
  <c r="D21" i="1"/>
  <c r="D22" i="1"/>
  <c r="D23" i="1"/>
  <c r="D24" i="1"/>
  <c r="D25" i="1"/>
  <c r="D26" i="1"/>
  <c r="F28" i="1"/>
  <c r="C28" i="1"/>
  <c r="G52" i="4" l="1"/>
  <c r="G50" i="4"/>
  <c r="F53" i="4"/>
  <c r="F52" i="4"/>
  <c r="F50" i="4"/>
  <c r="E53" i="4"/>
  <c r="E52" i="4"/>
  <c r="E51" i="4"/>
  <c r="E50" i="4"/>
  <c r="G53" i="4"/>
  <c r="G51" i="4"/>
  <c r="F51" i="4"/>
  <c r="D53" i="4"/>
  <c r="D52" i="4"/>
  <c r="D51" i="4"/>
  <c r="B28" i="4"/>
  <c r="B33" i="4" s="1"/>
  <c r="J50" i="4" l="1" a="1"/>
  <c r="J50" i="4" s="1"/>
  <c r="J51" i="4" s="1"/>
</calcChain>
</file>

<file path=xl/sharedStrings.xml><?xml version="1.0" encoding="utf-8"?>
<sst xmlns="http://schemas.openxmlformats.org/spreadsheetml/2006/main" count="147" uniqueCount="108">
  <si>
    <t>Question 2 (3 Marks)</t>
  </si>
  <si>
    <t xml:space="preserve">Anna is a Vice President at the J Corporation. The company is considering </t>
  </si>
  <si>
    <t>investing in a new factory and Anna must decide whether it is a feasible</t>
  </si>
  <si>
    <t xml:space="preserve">project. In order to assess the viability of the project, Anna must first calculate </t>
  </si>
  <si>
    <t xml:space="preserve">the rate of return that equity holders expect from the company stock. The  </t>
  </si>
  <si>
    <t>annual returns for J Corp. and for a market index are given below. Currently,</t>
  </si>
  <si>
    <t>the risk-free rate of return is</t>
  </si>
  <si>
    <t>and the market risk-premium is</t>
  </si>
  <si>
    <t>a) What is the beta of J Corp.'s stock?</t>
  </si>
  <si>
    <t>(1 Mark)(Round your answer to two decimal places)</t>
  </si>
  <si>
    <t>b) Using the CAPM model, what is  the expected rate of return on J Corp. stock for the coming year?</t>
  </si>
  <si>
    <t>(2 Marks)(Round your answer to one one-hundreth of a percent)</t>
  </si>
  <si>
    <t>Year</t>
  </si>
  <si>
    <t>J Corp. Return (%)</t>
  </si>
  <si>
    <t>Market Return (%)</t>
  </si>
  <si>
    <t>Complete your rough work in the space below</t>
  </si>
  <si>
    <t>Change</t>
  </si>
  <si>
    <t>covariance</t>
  </si>
  <si>
    <t>Beta</t>
  </si>
  <si>
    <t>Ke = Rf +Beta(Market risk premium)</t>
  </si>
  <si>
    <t>Rf</t>
  </si>
  <si>
    <t>Market premium</t>
  </si>
  <si>
    <t>Ke =</t>
  </si>
  <si>
    <t>Question 3 (3 Marks)</t>
  </si>
  <si>
    <t>Refer to Question 2. Now that Anna has determined an appropriate rate</t>
  </si>
  <si>
    <t>of return for J Corp.'s stock, she must calculate the firm's Weighted Average</t>
  </si>
  <si>
    <t xml:space="preserve">Cost of Capital (WACC). There are currently </t>
  </si>
  <si>
    <t>Million</t>
  </si>
  <si>
    <t>J Corp. common shares outstanding. Each share is currently priced at</t>
  </si>
  <si>
    <t xml:space="preserve">. As well, the firm has </t>
  </si>
  <si>
    <t>bonds outstanding and each</t>
  </si>
  <si>
    <t xml:space="preserve">bond has a face value of $10,000, a yield to maturity of </t>
  </si>
  <si>
    <t>and a</t>
  </si>
  <si>
    <t xml:space="preserve">quoted price of </t>
  </si>
  <si>
    <t>. J Corp.'s tax rate is 30%.</t>
  </si>
  <si>
    <t>J Corp. has no preferred shares outstanding.</t>
  </si>
  <si>
    <t>What is J Corp.'s WACC?</t>
  </si>
  <si>
    <t>Enter Answer</t>
  </si>
  <si>
    <t>(Round your answer to one one-hundredth of a percent)</t>
  </si>
  <si>
    <t>↑</t>
  </si>
  <si>
    <t>Enter your Final Answer Here</t>
  </si>
  <si>
    <t>E</t>
  </si>
  <si>
    <t>D</t>
  </si>
  <si>
    <t>V</t>
  </si>
  <si>
    <t>Ke</t>
  </si>
  <si>
    <t>Kd</t>
  </si>
  <si>
    <t>WACC =</t>
  </si>
  <si>
    <t>WACC = (E/V*Ke) + (D/V*Kd)(t)</t>
  </si>
  <si>
    <t>Question 4 (5 Marks)</t>
  </si>
  <si>
    <t>Refer to Questions 2 and 3. The land for the factory will cost</t>
  </si>
  <si>
    <t>.</t>
  </si>
  <si>
    <t>The factory will cost</t>
  </si>
  <si>
    <t>to build and construction will take two</t>
  </si>
  <si>
    <t>years with construction costs payable in equal installments at the start of each</t>
  </si>
  <si>
    <t>year. The factory will operate for 20 years. At the end of its 20 year lifespan,</t>
  </si>
  <si>
    <t>the land can be resold for</t>
  </si>
  <si>
    <t>There is a 70% probability that the factory's net operating cash flows will be</t>
  </si>
  <si>
    <t>; however, there is a 30% chance that net cash flows will only be</t>
  </si>
  <si>
    <t>. You may assume that net operating cash flows are received at the</t>
  </si>
  <si>
    <t>end of each year.</t>
  </si>
  <si>
    <t>a) What are the Expected net operating cash flows per year?</t>
  </si>
  <si>
    <t>(1 Mark)(Round your answer to 2 decimal places)</t>
  </si>
  <si>
    <t>b) What is the Internal Rate of Return for the project?</t>
  </si>
  <si>
    <t>(1 Mark)(Round your answer to one one-hundreth of a percent)</t>
  </si>
  <si>
    <t>c) What is the Net Present Value of the project?</t>
  </si>
  <si>
    <t>d) Should Anna recommend that the J Corporation build the factory?</t>
  </si>
  <si>
    <t>Yes</t>
  </si>
  <si>
    <r>
      <t xml:space="preserve">} </t>
    </r>
    <r>
      <rPr>
        <sz val="14"/>
        <rFont val="Arial"/>
        <family val="2"/>
      </rPr>
      <t>Check only one box</t>
    </r>
  </si>
  <si>
    <t>(2 Marks)</t>
  </si>
  <si>
    <t>No</t>
  </si>
  <si>
    <t>Expected operating profit</t>
  </si>
  <si>
    <t>Percent</t>
  </si>
  <si>
    <t>Cash flow</t>
  </si>
  <si>
    <t>PVIF 3.7%,n</t>
  </si>
  <si>
    <t>PV</t>
  </si>
  <si>
    <t>Expected OCF</t>
  </si>
  <si>
    <t>Operating CF</t>
  </si>
  <si>
    <t>NPV</t>
  </si>
  <si>
    <t>IRR</t>
  </si>
  <si>
    <t>√</t>
  </si>
  <si>
    <t>Question 1 (4 Marks)</t>
  </si>
  <si>
    <t>Richard must decide how to allocate the capital in his portfolio.</t>
  </si>
  <si>
    <t>Richard has</t>
  </si>
  <si>
    <t>available to invest. He finds the rates of</t>
  </si>
  <si>
    <t>return for four stocks for the past 12 years and the results are given</t>
  </si>
  <si>
    <t>below. Richard plans to invest 25% of his funds in each stock.</t>
  </si>
  <si>
    <t>a) How much will he invest in each stock?</t>
  </si>
  <si>
    <t>(1 Mark)</t>
  </si>
  <si>
    <t>b) The expected return of Richard's porfolio is:</t>
  </si>
  <si>
    <t>%</t>
  </si>
  <si>
    <t>c) The standard deviation of Richard's portfolio return is:</t>
  </si>
  <si>
    <t>(1 Mark)(Round your answer to one one-hundredth of a percent)</t>
  </si>
  <si>
    <t>Stock A (%)</t>
  </si>
  <si>
    <t>Stock B (%)</t>
  </si>
  <si>
    <t>Stock C (%)</t>
  </si>
  <si>
    <t>Stock D (%)</t>
  </si>
  <si>
    <t>Average</t>
  </si>
  <si>
    <t>a)</t>
  </si>
  <si>
    <t>Er=2.66+0.69-1.94+3.89</t>
  </si>
  <si>
    <t>Variance</t>
  </si>
  <si>
    <t>Portfolio Variance</t>
  </si>
  <si>
    <t>Posrtfolio SD</t>
  </si>
  <si>
    <t>Weights</t>
  </si>
  <si>
    <t>Covariance</t>
  </si>
  <si>
    <t>Portfolio</t>
  </si>
  <si>
    <t>Jcorp.</t>
  </si>
  <si>
    <t>Weighted beta</t>
  </si>
  <si>
    <t>Portfolio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</si>
</sst>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.0%"/>
    <numFmt numFmtId="165" formatCode="0.0"/>
    <numFmt numFmtId="166" formatCode="&quot;$&quot;#,##0.00"/>
    <numFmt numFmtId="168" formatCode="_-* #,##0_-;\-* #,##0_-;_-* &quot;-&quot;??_-;_-@_-"/>
    <numFmt numFmtId="169" formatCode="&quot;$&quot;#,##0"/>
    <numFmt numFmtId="172" formatCode="0.000"/>
  </numFmts>
  <fonts count="9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color theme="0"/>
      <name val="Arial"/>
      <family val="2"/>
    </font>
    <font>
      <sz val="25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3" fillId="2" borderId="0" xfId="0" applyFont="1" applyFill="1" applyAlignment="1" applyProtection="1">
      <alignment vertical="top"/>
      <protection hidden="1"/>
    </xf>
    <xf numFmtId="0" fontId="3" fillId="2" borderId="2" xfId="0" applyFont="1" applyFill="1" applyBorder="1" applyProtection="1">
      <protection hidden="1"/>
    </xf>
    <xf numFmtId="0" fontId="2" fillId="0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0" fontId="0" fillId="0" borderId="0" xfId="0" applyFill="1"/>
    <xf numFmtId="0" fontId="4" fillId="0" borderId="0" xfId="0" applyFont="1" applyFill="1" applyProtection="1">
      <protection hidden="1"/>
    </xf>
    <xf numFmtId="164" fontId="4" fillId="0" borderId="0" xfId="0" applyNumberFormat="1" applyFont="1" applyFill="1" applyAlignment="1" applyProtection="1">
      <alignment horizontal="left"/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Font="1" applyFill="1" applyAlignment="1" applyProtection="1">
      <alignment wrapText="1"/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1" xfId="0" applyFill="1" applyBorder="1" applyAlignment="1" applyProtection="1">
      <alignment wrapText="1"/>
      <protection hidden="1"/>
    </xf>
    <xf numFmtId="0" fontId="3" fillId="0" borderId="0" xfId="0" applyFont="1" applyFill="1" applyAlignment="1" applyProtection="1">
      <alignment vertical="top"/>
      <protection hidden="1"/>
    </xf>
    <xf numFmtId="0" fontId="3" fillId="0" borderId="0" xfId="0" applyFont="1" applyFill="1" applyAlignment="1" applyProtection="1">
      <alignment horizontal="center"/>
      <protection hidden="1"/>
    </xf>
    <xf numFmtId="0" fontId="3" fillId="0" borderId="0" xfId="0" applyFont="1" applyFill="1" applyAlignment="1" applyProtection="1">
      <alignment horizontal="center" wrapText="1"/>
      <protection hidden="1"/>
    </xf>
    <xf numFmtId="2" fontId="3" fillId="0" borderId="0" xfId="0" applyNumberFormat="1" applyFont="1" applyFill="1" applyAlignment="1" applyProtection="1">
      <alignment horizontal="center"/>
      <protection hidden="1"/>
    </xf>
    <xf numFmtId="0" fontId="0" fillId="0" borderId="0" xfId="0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49" fontId="3" fillId="0" borderId="0" xfId="0" applyNumberFormat="1" applyFont="1" applyFill="1" applyAlignment="1" applyProtection="1">
      <alignment horizontal="center"/>
      <protection hidden="1"/>
    </xf>
    <xf numFmtId="0" fontId="3" fillId="0" borderId="2" xfId="0" applyFont="1" applyFill="1" applyBorder="1" applyProtection="1">
      <protection hidden="1"/>
    </xf>
    <xf numFmtId="0" fontId="0" fillId="0" borderId="2" xfId="0" applyFill="1" applyBorder="1" applyProtection="1">
      <protection hidden="1"/>
    </xf>
    <xf numFmtId="2" fontId="0" fillId="0" borderId="0" xfId="0" applyNumberFormat="1" applyFill="1"/>
    <xf numFmtId="2" fontId="5" fillId="2" borderId="0" xfId="0" applyNumberFormat="1" applyFont="1" applyFill="1" applyProtection="1">
      <protection hidden="1"/>
    </xf>
    <xf numFmtId="165" fontId="4" fillId="2" borderId="0" xfId="0" applyNumberFormat="1" applyFont="1" applyFill="1" applyAlignment="1" applyProtection="1">
      <alignment horizontal="center"/>
      <protection hidden="1"/>
    </xf>
    <xf numFmtId="166" fontId="4" fillId="2" borderId="0" xfId="0" applyNumberFormat="1" applyFont="1" applyFill="1" applyAlignment="1" applyProtection="1">
      <alignment horizontal="center"/>
      <protection hidden="1"/>
    </xf>
    <xf numFmtId="3" fontId="4" fillId="2" borderId="0" xfId="0" applyNumberFormat="1" applyFont="1" applyFill="1" applyAlignment="1" applyProtection="1">
      <alignment horizontal="left"/>
      <protection hidden="1"/>
    </xf>
    <xf numFmtId="10" fontId="4" fillId="2" borderId="0" xfId="0" applyNumberFormat="1" applyFont="1" applyFill="1" applyAlignment="1" applyProtection="1">
      <alignment horizontal="left"/>
      <protection hidden="1"/>
    </xf>
    <xf numFmtId="166" fontId="4" fillId="2" borderId="0" xfId="0" applyNumberFormat="1" applyFont="1" applyFill="1" applyAlignment="1" applyProtection="1">
      <protection hidden="1"/>
    </xf>
    <xf numFmtId="0" fontId="4" fillId="2" borderId="0" xfId="0" applyFont="1" applyFill="1" applyAlignment="1" applyProtection="1">
      <protection hidden="1"/>
    </xf>
    <xf numFmtId="10" fontId="4" fillId="3" borderId="3" xfId="0" applyNumberFormat="1" applyFont="1" applyFill="1" applyBorder="1" applyAlignment="1" applyProtection="1">
      <alignment horizontal="center"/>
      <protection locked="0"/>
    </xf>
    <xf numFmtId="10" fontId="4" fillId="3" borderId="4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protection hidden="1"/>
    </xf>
    <xf numFmtId="0" fontId="0" fillId="2" borderId="0" xfId="0" applyFill="1" applyBorder="1" applyAlignment="1" applyProtection="1">
      <alignment horizontal="left" vertical="top"/>
      <protection hidden="1"/>
    </xf>
    <xf numFmtId="0" fontId="3" fillId="0" borderId="0" xfId="0" applyFont="1" applyProtection="1">
      <protection locked="0"/>
    </xf>
    <xf numFmtId="0" fontId="3" fillId="0" borderId="2" xfId="0" applyFont="1" applyBorder="1" applyProtection="1">
      <protection locked="0"/>
    </xf>
    <xf numFmtId="43" fontId="3" fillId="0" borderId="0" xfId="1" applyFont="1" applyProtection="1">
      <protection locked="0"/>
    </xf>
    <xf numFmtId="168" fontId="3" fillId="0" borderId="0" xfId="1" applyNumberFormat="1" applyFont="1" applyProtection="1">
      <protection locked="0"/>
    </xf>
    <xf numFmtId="168" fontId="3" fillId="0" borderId="2" xfId="1" applyNumberFormat="1" applyFont="1" applyBorder="1" applyProtection="1">
      <protection locked="0"/>
    </xf>
    <xf numFmtId="10" fontId="5" fillId="2" borderId="0" xfId="0" applyNumberFormat="1" applyFont="1" applyFill="1" applyProtection="1">
      <protection hidden="1"/>
    </xf>
    <xf numFmtId="169" fontId="4" fillId="2" borderId="0" xfId="0" applyNumberFormat="1" applyFont="1" applyFill="1" applyAlignment="1" applyProtection="1">
      <alignment horizontal="center"/>
      <protection hidden="1"/>
    </xf>
    <xf numFmtId="169" fontId="4" fillId="2" borderId="0" xfId="0" applyNumberFormat="1" applyFont="1" applyFill="1" applyAlignment="1" applyProtection="1">
      <alignment horizontal="left"/>
      <protection hidden="1"/>
    </xf>
    <xf numFmtId="169" fontId="4" fillId="2" borderId="0" xfId="0" applyNumberFormat="1" applyFont="1" applyFill="1" applyAlignment="1" applyProtection="1">
      <alignment horizontal="right"/>
      <protection hidden="1"/>
    </xf>
    <xf numFmtId="3" fontId="3" fillId="2" borderId="0" xfId="0" applyNumberFormat="1" applyFont="1" applyFill="1" applyProtection="1">
      <protection hidden="1"/>
    </xf>
    <xf numFmtId="169" fontId="4" fillId="2" borderId="0" xfId="0" applyNumberFormat="1" applyFont="1" applyFill="1" applyProtection="1">
      <protection hidden="1"/>
    </xf>
    <xf numFmtId="10" fontId="3" fillId="2" borderId="0" xfId="0" applyNumberFormat="1" applyFont="1" applyFill="1" applyProtection="1">
      <protection hidden="1"/>
    </xf>
    <xf numFmtId="11" fontId="3" fillId="2" borderId="0" xfId="0" quotePrefix="1" applyNumberFormat="1" applyFont="1" applyFill="1" applyProtection="1">
      <protection hidden="1"/>
    </xf>
    <xf numFmtId="166" fontId="4" fillId="3" borderId="3" xfId="0" applyNumberFormat="1" applyFont="1" applyFill="1" applyBorder="1" applyAlignment="1" applyProtection="1">
      <alignment horizontal="center"/>
      <protection locked="0"/>
    </xf>
    <xf numFmtId="166" fontId="4" fillId="3" borderId="4" xfId="0" applyNumberFormat="1" applyFont="1" applyFill="1" applyBorder="1" applyAlignment="1" applyProtection="1">
      <alignment horizontal="center"/>
      <protection locked="0"/>
    </xf>
    <xf numFmtId="0" fontId="3" fillId="2" borderId="0" xfId="0" quotePrefix="1" applyFont="1" applyFill="1" applyProtection="1"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3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left" vertical="top"/>
      <protection hidden="1"/>
    </xf>
    <xf numFmtId="0" fontId="6" fillId="2" borderId="0" xfId="0" applyFont="1" applyFill="1" applyBorder="1" applyAlignment="1" applyProtection="1">
      <alignment horizontal="left" vertical="top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0" fillId="2" borderId="0" xfId="0" applyFill="1" applyBorder="1" applyAlignment="1" applyProtection="1">
      <alignment horizontal="left"/>
      <protection hidden="1"/>
    </xf>
    <xf numFmtId="169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43" fontId="3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9" fontId="0" fillId="0" borderId="0" xfId="0" applyNumberFormat="1"/>
    <xf numFmtId="10" fontId="3" fillId="0" borderId="0" xfId="2" applyNumberFormat="1" applyFont="1" applyProtection="1">
      <protection locked="0"/>
    </xf>
    <xf numFmtId="0" fontId="7" fillId="3" borderId="6" xfId="0" applyFont="1" applyFill="1" applyBorder="1" applyProtection="1">
      <protection locked="0"/>
    </xf>
    <xf numFmtId="0" fontId="0" fillId="0" borderId="0" xfId="0" applyFill="1" applyProtection="1">
      <protection hidden="1"/>
    </xf>
    <xf numFmtId="169" fontId="4" fillId="0" borderId="0" xfId="0" applyNumberFormat="1" applyFont="1" applyFill="1" applyAlignment="1" applyProtection="1">
      <alignment horizontal="left"/>
      <protection hidden="1"/>
    </xf>
    <xf numFmtId="0" fontId="4" fillId="0" borderId="0" xfId="0" applyFont="1" applyFill="1" applyAlignment="1" applyProtection="1">
      <alignment horizontal="left"/>
      <protection hidden="1"/>
    </xf>
    <xf numFmtId="0" fontId="4" fillId="0" borderId="0" xfId="0" applyFont="1" applyFill="1" applyAlignment="1" applyProtection="1">
      <protection hidden="1"/>
    </xf>
    <xf numFmtId="169" fontId="4" fillId="0" borderId="3" xfId="0" applyNumberFormat="1" applyFont="1" applyFill="1" applyBorder="1" applyAlignment="1" applyProtection="1">
      <alignment horizontal="center" vertical="center"/>
      <protection locked="0"/>
    </xf>
    <xf numFmtId="169" fontId="4" fillId="0" borderId="4" xfId="0" applyNumberFormat="1" applyFont="1" applyFill="1" applyBorder="1" applyAlignment="1" applyProtection="1">
      <alignment horizontal="center" vertical="center"/>
      <protection locked="0"/>
    </xf>
    <xf numFmtId="169" fontId="3" fillId="0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wrapText="1"/>
      <protection hidden="1"/>
    </xf>
    <xf numFmtId="0" fontId="0" fillId="0" borderId="0" xfId="0" applyFill="1" applyBorder="1" applyProtection="1">
      <protection hidden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hidden="1"/>
    </xf>
    <xf numFmtId="0" fontId="3" fillId="0" borderId="0" xfId="0" applyFont="1" applyFill="1" applyAlignment="1" applyProtection="1">
      <protection hidden="1"/>
    </xf>
    <xf numFmtId="0" fontId="3" fillId="0" borderId="0" xfId="0" applyFont="1" applyFill="1" applyAlignment="1" applyProtection="1">
      <alignment wrapText="1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left" wrapText="1"/>
      <protection hidden="1"/>
    </xf>
    <xf numFmtId="0" fontId="4" fillId="0" borderId="1" xfId="0" applyFont="1" applyFill="1" applyBorder="1" applyAlignment="1" applyProtection="1">
      <alignment horizontal="left" wrapText="1"/>
      <protection hidden="1"/>
    </xf>
    <xf numFmtId="0" fontId="4" fillId="0" borderId="0" xfId="0" applyFont="1" applyFill="1" applyAlignment="1" applyProtection="1">
      <alignment wrapText="1"/>
      <protection hidden="1"/>
    </xf>
    <xf numFmtId="0" fontId="0" fillId="0" borderId="0" xfId="0" applyFill="1" applyAlignment="1" applyProtection="1">
      <alignment wrapText="1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center"/>
      <protection hidden="1"/>
    </xf>
    <xf numFmtId="0" fontId="0" fillId="0" borderId="0" xfId="0" applyFill="1" applyProtection="1">
      <protection locked="0"/>
    </xf>
    <xf numFmtId="172" fontId="3" fillId="0" borderId="0" xfId="0" applyNumberFormat="1" applyFont="1" applyFill="1" applyAlignment="1" applyProtection="1">
      <alignment horizontal="center"/>
      <protection hidden="1"/>
    </xf>
    <xf numFmtId="172" fontId="0" fillId="0" borderId="0" xfId="0" applyNumberFormat="1" applyFill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wrapText="1"/>
      <protection hidden="1"/>
    </xf>
    <xf numFmtId="0" fontId="0" fillId="0" borderId="0" xfId="0" applyFill="1" applyBorder="1" applyAlignment="1" applyProtection="1">
      <alignment wrapText="1"/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172" fontId="0" fillId="0" borderId="0" xfId="0" applyNumberFormat="1" applyFill="1" applyBorder="1" applyAlignment="1" applyProtection="1">
      <alignment horizontal="center"/>
      <protection hidden="1"/>
    </xf>
    <xf numFmtId="172" fontId="3" fillId="0" borderId="0" xfId="0" applyNumberFormat="1" applyFont="1" applyFill="1" applyBorder="1" applyAlignment="1" applyProtection="1">
      <alignment horizontal="center"/>
      <protection hidden="1"/>
    </xf>
    <xf numFmtId="0" fontId="0" fillId="0" borderId="2" xfId="0" applyFill="1" applyBorder="1" applyAlignment="1" applyProtection="1">
      <alignment wrapText="1"/>
      <protection hidden="1"/>
    </xf>
    <xf numFmtId="0" fontId="0" fillId="0" borderId="2" xfId="0" applyFill="1" applyBorder="1" applyAlignment="1" applyProtection="1">
      <protection hidden="1"/>
    </xf>
    <xf numFmtId="0" fontId="3" fillId="0" borderId="0" xfId="0" applyFont="1" applyFill="1" applyProtection="1">
      <protection locked="0"/>
    </xf>
    <xf numFmtId="172" fontId="0" fillId="0" borderId="0" xfId="0" applyNumberFormat="1" applyFill="1" applyProtection="1">
      <protection locked="0"/>
    </xf>
    <xf numFmtId="0" fontId="3" fillId="0" borderId="0" xfId="0" applyFont="1" applyFill="1" applyAlignment="1" applyProtection="1">
      <alignment horizontal="right"/>
      <protection locked="0"/>
    </xf>
    <xf numFmtId="10" fontId="0" fillId="0" borderId="0" xfId="0" applyNumberFormat="1" applyFill="1" applyProtection="1">
      <protection locked="0"/>
    </xf>
    <xf numFmtId="0" fontId="8" fillId="0" borderId="8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9" workbookViewId="0">
      <selection activeCell="C35" sqref="C35:G47"/>
    </sheetView>
  </sheetViews>
  <sheetFormatPr defaultRowHeight="15.75" x14ac:dyDescent="0.25"/>
  <cols>
    <col min="1" max="1" width="4.75" style="90" customWidth="1"/>
    <col min="2" max="6" width="10.25" style="90" customWidth="1"/>
    <col min="7" max="256" width="10" style="90" customWidth="1"/>
    <col min="257" max="257" width="4.75" style="90" customWidth="1"/>
    <col min="258" max="262" width="10.25" style="90" customWidth="1"/>
    <col min="263" max="512" width="10" style="90" customWidth="1"/>
    <col min="513" max="513" width="4.75" style="90" customWidth="1"/>
    <col min="514" max="518" width="10.25" style="90" customWidth="1"/>
    <col min="519" max="768" width="10" style="90" customWidth="1"/>
    <col min="769" max="769" width="4.75" style="90" customWidth="1"/>
    <col min="770" max="774" width="10.25" style="90" customWidth="1"/>
    <col min="775" max="1024" width="10" style="90" customWidth="1"/>
    <col min="1025" max="1025" width="4.75" style="90" customWidth="1"/>
    <col min="1026" max="1030" width="10.25" style="90" customWidth="1"/>
    <col min="1031" max="1280" width="10" style="90" customWidth="1"/>
    <col min="1281" max="1281" width="4.75" style="90" customWidth="1"/>
    <col min="1282" max="1286" width="10.25" style="90" customWidth="1"/>
    <col min="1287" max="1536" width="10" style="90" customWidth="1"/>
    <col min="1537" max="1537" width="4.75" style="90" customWidth="1"/>
    <col min="1538" max="1542" width="10.25" style="90" customWidth="1"/>
    <col min="1543" max="1792" width="10" style="90" customWidth="1"/>
    <col min="1793" max="1793" width="4.75" style="90" customWidth="1"/>
    <col min="1794" max="1798" width="10.25" style="90" customWidth="1"/>
    <col min="1799" max="2048" width="10" style="90" customWidth="1"/>
    <col min="2049" max="2049" width="4.75" style="90" customWidth="1"/>
    <col min="2050" max="2054" width="10.25" style="90" customWidth="1"/>
    <col min="2055" max="2304" width="10" style="90" customWidth="1"/>
    <col min="2305" max="2305" width="4.75" style="90" customWidth="1"/>
    <col min="2306" max="2310" width="10.25" style="90" customWidth="1"/>
    <col min="2311" max="2560" width="10" style="90" customWidth="1"/>
    <col min="2561" max="2561" width="4.75" style="90" customWidth="1"/>
    <col min="2562" max="2566" width="10.25" style="90" customWidth="1"/>
    <col min="2567" max="2816" width="10" style="90" customWidth="1"/>
    <col min="2817" max="2817" width="4.75" style="90" customWidth="1"/>
    <col min="2818" max="2822" width="10.25" style="90" customWidth="1"/>
    <col min="2823" max="3072" width="10" style="90" customWidth="1"/>
    <col min="3073" max="3073" width="4.75" style="90" customWidth="1"/>
    <col min="3074" max="3078" width="10.25" style="90" customWidth="1"/>
    <col min="3079" max="3328" width="10" style="90" customWidth="1"/>
    <col min="3329" max="3329" width="4.75" style="90" customWidth="1"/>
    <col min="3330" max="3334" width="10.25" style="90" customWidth="1"/>
    <col min="3335" max="3584" width="10" style="90" customWidth="1"/>
    <col min="3585" max="3585" width="4.75" style="90" customWidth="1"/>
    <col min="3586" max="3590" width="10.25" style="90" customWidth="1"/>
    <col min="3591" max="3840" width="10" style="90" customWidth="1"/>
    <col min="3841" max="3841" width="4.75" style="90" customWidth="1"/>
    <col min="3842" max="3846" width="10.25" style="90" customWidth="1"/>
    <col min="3847" max="4096" width="10" style="90" customWidth="1"/>
    <col min="4097" max="4097" width="4.75" style="90" customWidth="1"/>
    <col min="4098" max="4102" width="10.25" style="90" customWidth="1"/>
    <col min="4103" max="4352" width="10" style="90" customWidth="1"/>
    <col min="4353" max="4353" width="4.75" style="90" customWidth="1"/>
    <col min="4354" max="4358" width="10.25" style="90" customWidth="1"/>
    <col min="4359" max="4608" width="10" style="90" customWidth="1"/>
    <col min="4609" max="4609" width="4.75" style="90" customWidth="1"/>
    <col min="4610" max="4614" width="10.25" style="90" customWidth="1"/>
    <col min="4615" max="4864" width="10" style="90" customWidth="1"/>
    <col min="4865" max="4865" width="4.75" style="90" customWidth="1"/>
    <col min="4866" max="4870" width="10.25" style="90" customWidth="1"/>
    <col min="4871" max="5120" width="10" style="90" customWidth="1"/>
    <col min="5121" max="5121" width="4.75" style="90" customWidth="1"/>
    <col min="5122" max="5126" width="10.25" style="90" customWidth="1"/>
    <col min="5127" max="5376" width="10" style="90" customWidth="1"/>
    <col min="5377" max="5377" width="4.75" style="90" customWidth="1"/>
    <col min="5378" max="5382" width="10.25" style="90" customWidth="1"/>
    <col min="5383" max="5632" width="10" style="90" customWidth="1"/>
    <col min="5633" max="5633" width="4.75" style="90" customWidth="1"/>
    <col min="5634" max="5638" width="10.25" style="90" customWidth="1"/>
    <col min="5639" max="5888" width="10" style="90" customWidth="1"/>
    <col min="5889" max="5889" width="4.75" style="90" customWidth="1"/>
    <col min="5890" max="5894" width="10.25" style="90" customWidth="1"/>
    <col min="5895" max="6144" width="10" style="90" customWidth="1"/>
    <col min="6145" max="6145" width="4.75" style="90" customWidth="1"/>
    <col min="6146" max="6150" width="10.25" style="90" customWidth="1"/>
    <col min="6151" max="6400" width="10" style="90" customWidth="1"/>
    <col min="6401" max="6401" width="4.75" style="90" customWidth="1"/>
    <col min="6402" max="6406" width="10.25" style="90" customWidth="1"/>
    <col min="6407" max="6656" width="10" style="90" customWidth="1"/>
    <col min="6657" max="6657" width="4.75" style="90" customWidth="1"/>
    <col min="6658" max="6662" width="10.25" style="90" customWidth="1"/>
    <col min="6663" max="6912" width="10" style="90" customWidth="1"/>
    <col min="6913" max="6913" width="4.75" style="90" customWidth="1"/>
    <col min="6914" max="6918" width="10.25" style="90" customWidth="1"/>
    <col min="6919" max="7168" width="10" style="90" customWidth="1"/>
    <col min="7169" max="7169" width="4.75" style="90" customWidth="1"/>
    <col min="7170" max="7174" width="10.25" style="90" customWidth="1"/>
    <col min="7175" max="7424" width="10" style="90" customWidth="1"/>
    <col min="7425" max="7425" width="4.75" style="90" customWidth="1"/>
    <col min="7426" max="7430" width="10.25" style="90" customWidth="1"/>
    <col min="7431" max="7680" width="10" style="90" customWidth="1"/>
    <col min="7681" max="7681" width="4.75" style="90" customWidth="1"/>
    <col min="7682" max="7686" width="10.25" style="90" customWidth="1"/>
    <col min="7687" max="7936" width="10" style="90" customWidth="1"/>
    <col min="7937" max="7937" width="4.75" style="90" customWidth="1"/>
    <col min="7938" max="7942" width="10.25" style="90" customWidth="1"/>
    <col min="7943" max="8192" width="10" style="90" customWidth="1"/>
    <col min="8193" max="8193" width="4.75" style="90" customWidth="1"/>
    <col min="8194" max="8198" width="10.25" style="90" customWidth="1"/>
    <col min="8199" max="8448" width="10" style="90" customWidth="1"/>
    <col min="8449" max="8449" width="4.75" style="90" customWidth="1"/>
    <col min="8450" max="8454" width="10.25" style="90" customWidth="1"/>
    <col min="8455" max="8704" width="10" style="90" customWidth="1"/>
    <col min="8705" max="8705" width="4.75" style="90" customWidth="1"/>
    <col min="8706" max="8710" width="10.25" style="90" customWidth="1"/>
    <col min="8711" max="8960" width="10" style="90" customWidth="1"/>
    <col min="8961" max="8961" width="4.75" style="90" customWidth="1"/>
    <col min="8962" max="8966" width="10.25" style="90" customWidth="1"/>
    <col min="8967" max="9216" width="10" style="90" customWidth="1"/>
    <col min="9217" max="9217" width="4.75" style="90" customWidth="1"/>
    <col min="9218" max="9222" width="10.25" style="90" customWidth="1"/>
    <col min="9223" max="9472" width="10" style="90" customWidth="1"/>
    <col min="9473" max="9473" width="4.75" style="90" customWidth="1"/>
    <col min="9474" max="9478" width="10.25" style="90" customWidth="1"/>
    <col min="9479" max="9728" width="10" style="90" customWidth="1"/>
    <col min="9729" max="9729" width="4.75" style="90" customWidth="1"/>
    <col min="9730" max="9734" width="10.25" style="90" customWidth="1"/>
    <col min="9735" max="9984" width="10" style="90" customWidth="1"/>
    <col min="9985" max="9985" width="4.75" style="90" customWidth="1"/>
    <col min="9986" max="9990" width="10.25" style="90" customWidth="1"/>
    <col min="9991" max="10240" width="10" style="90" customWidth="1"/>
    <col min="10241" max="10241" width="4.75" style="90" customWidth="1"/>
    <col min="10242" max="10246" width="10.25" style="90" customWidth="1"/>
    <col min="10247" max="10496" width="10" style="90" customWidth="1"/>
    <col min="10497" max="10497" width="4.75" style="90" customWidth="1"/>
    <col min="10498" max="10502" width="10.25" style="90" customWidth="1"/>
    <col min="10503" max="10752" width="10" style="90" customWidth="1"/>
    <col min="10753" max="10753" width="4.75" style="90" customWidth="1"/>
    <col min="10754" max="10758" width="10.25" style="90" customWidth="1"/>
    <col min="10759" max="11008" width="10" style="90" customWidth="1"/>
    <col min="11009" max="11009" width="4.75" style="90" customWidth="1"/>
    <col min="11010" max="11014" width="10.25" style="90" customWidth="1"/>
    <col min="11015" max="11264" width="10" style="90" customWidth="1"/>
    <col min="11265" max="11265" width="4.75" style="90" customWidth="1"/>
    <col min="11266" max="11270" width="10.25" style="90" customWidth="1"/>
    <col min="11271" max="11520" width="10" style="90" customWidth="1"/>
    <col min="11521" max="11521" width="4.75" style="90" customWidth="1"/>
    <col min="11522" max="11526" width="10.25" style="90" customWidth="1"/>
    <col min="11527" max="11776" width="10" style="90" customWidth="1"/>
    <col min="11777" max="11777" width="4.75" style="90" customWidth="1"/>
    <col min="11778" max="11782" width="10.25" style="90" customWidth="1"/>
    <col min="11783" max="12032" width="10" style="90" customWidth="1"/>
    <col min="12033" max="12033" width="4.75" style="90" customWidth="1"/>
    <col min="12034" max="12038" width="10.25" style="90" customWidth="1"/>
    <col min="12039" max="12288" width="10" style="90" customWidth="1"/>
    <col min="12289" max="12289" width="4.75" style="90" customWidth="1"/>
    <col min="12290" max="12294" width="10.25" style="90" customWidth="1"/>
    <col min="12295" max="12544" width="10" style="90" customWidth="1"/>
    <col min="12545" max="12545" width="4.75" style="90" customWidth="1"/>
    <col min="12546" max="12550" width="10.25" style="90" customWidth="1"/>
    <col min="12551" max="12800" width="10" style="90" customWidth="1"/>
    <col min="12801" max="12801" width="4.75" style="90" customWidth="1"/>
    <col min="12802" max="12806" width="10.25" style="90" customWidth="1"/>
    <col min="12807" max="13056" width="10" style="90" customWidth="1"/>
    <col min="13057" max="13057" width="4.75" style="90" customWidth="1"/>
    <col min="13058" max="13062" width="10.25" style="90" customWidth="1"/>
    <col min="13063" max="13312" width="10" style="90" customWidth="1"/>
    <col min="13313" max="13313" width="4.75" style="90" customWidth="1"/>
    <col min="13314" max="13318" width="10.25" style="90" customWidth="1"/>
    <col min="13319" max="13568" width="10" style="90" customWidth="1"/>
    <col min="13569" max="13569" width="4.75" style="90" customWidth="1"/>
    <col min="13570" max="13574" width="10.25" style="90" customWidth="1"/>
    <col min="13575" max="13824" width="10" style="90" customWidth="1"/>
    <col min="13825" max="13825" width="4.75" style="90" customWidth="1"/>
    <col min="13826" max="13830" width="10.25" style="90" customWidth="1"/>
    <col min="13831" max="14080" width="10" style="90" customWidth="1"/>
    <col min="14081" max="14081" width="4.75" style="90" customWidth="1"/>
    <col min="14082" max="14086" width="10.25" style="90" customWidth="1"/>
    <col min="14087" max="14336" width="10" style="90" customWidth="1"/>
    <col min="14337" max="14337" width="4.75" style="90" customWidth="1"/>
    <col min="14338" max="14342" width="10.25" style="90" customWidth="1"/>
    <col min="14343" max="14592" width="10" style="90" customWidth="1"/>
    <col min="14593" max="14593" width="4.75" style="90" customWidth="1"/>
    <col min="14594" max="14598" width="10.25" style="90" customWidth="1"/>
    <col min="14599" max="14848" width="10" style="90" customWidth="1"/>
    <col min="14849" max="14849" width="4.75" style="90" customWidth="1"/>
    <col min="14850" max="14854" width="10.25" style="90" customWidth="1"/>
    <col min="14855" max="15104" width="10" style="90" customWidth="1"/>
    <col min="15105" max="15105" width="4.75" style="90" customWidth="1"/>
    <col min="15106" max="15110" width="10.25" style="90" customWidth="1"/>
    <col min="15111" max="15360" width="10" style="90" customWidth="1"/>
    <col min="15361" max="15361" width="4.75" style="90" customWidth="1"/>
    <col min="15362" max="15366" width="10.25" style="90" customWidth="1"/>
    <col min="15367" max="15616" width="10" style="90" customWidth="1"/>
    <col min="15617" max="15617" width="4.75" style="90" customWidth="1"/>
    <col min="15618" max="15622" width="10.25" style="90" customWidth="1"/>
    <col min="15623" max="15872" width="10" style="90" customWidth="1"/>
    <col min="15873" max="15873" width="4.75" style="90" customWidth="1"/>
    <col min="15874" max="15878" width="10.25" style="90" customWidth="1"/>
    <col min="15879" max="16128" width="10" style="90" customWidth="1"/>
    <col min="16129" max="16129" width="4.75" style="90" customWidth="1"/>
    <col min="16130" max="16134" width="10.25" style="90" customWidth="1"/>
    <col min="16135" max="16384" width="10" style="90" customWidth="1"/>
  </cols>
  <sheetData>
    <row r="1" spans="1:10" s="67" customFormat="1" ht="18" x14ac:dyDescent="0.25">
      <c r="A1" s="6" t="s">
        <v>80</v>
      </c>
    </row>
    <row r="2" spans="1:10" s="67" customFormat="1" ht="18" x14ac:dyDescent="0.25">
      <c r="A2" s="9" t="s">
        <v>81</v>
      </c>
    </row>
    <row r="3" spans="1:10" s="67" customFormat="1" ht="18" x14ac:dyDescent="0.25">
      <c r="A3" s="9" t="s">
        <v>82</v>
      </c>
      <c r="C3" s="68">
        <v>9000</v>
      </c>
      <c r="D3" s="9" t="s">
        <v>83</v>
      </c>
    </row>
    <row r="4" spans="1:10" s="67" customFormat="1" ht="18" x14ac:dyDescent="0.25">
      <c r="A4" s="69" t="s">
        <v>84</v>
      </c>
    </row>
    <row r="5" spans="1:10" s="67" customFormat="1" ht="18" x14ac:dyDescent="0.25">
      <c r="A5" s="9" t="s">
        <v>85</v>
      </c>
    </row>
    <row r="6" spans="1:10" s="67" customFormat="1" ht="18.75" thickBot="1" x14ac:dyDescent="0.3">
      <c r="A6" s="9"/>
    </row>
    <row r="7" spans="1:10" s="67" customFormat="1" ht="18.75" thickBot="1" x14ac:dyDescent="0.3">
      <c r="A7" s="70" t="s">
        <v>86</v>
      </c>
      <c r="H7" s="71">
        <v>2250</v>
      </c>
      <c r="I7" s="72"/>
    </row>
    <row r="8" spans="1:10" s="7" customFormat="1" ht="13.5" thickBot="1" x14ac:dyDescent="0.25">
      <c r="A8" s="15" t="s">
        <v>87</v>
      </c>
      <c r="G8" s="73"/>
      <c r="H8" s="73"/>
    </row>
    <row r="9" spans="1:10" s="67" customFormat="1" ht="18.75" thickBot="1" x14ac:dyDescent="0.3">
      <c r="A9" s="74" t="s">
        <v>88</v>
      </c>
      <c r="B9" s="75"/>
      <c r="C9" s="75"/>
      <c r="D9" s="75"/>
      <c r="E9" s="75"/>
      <c r="F9" s="75"/>
      <c r="H9" s="76">
        <v>5.3</v>
      </c>
      <c r="I9" s="77"/>
      <c r="J9" s="78" t="s">
        <v>89</v>
      </c>
    </row>
    <row r="10" spans="1:10" s="7" customFormat="1" ht="13.5" thickBot="1" x14ac:dyDescent="0.25">
      <c r="A10" s="79" t="s">
        <v>11</v>
      </c>
      <c r="B10" s="80"/>
      <c r="C10" s="80"/>
      <c r="D10" s="80"/>
      <c r="E10" s="80"/>
      <c r="F10" s="80"/>
      <c r="G10" s="81"/>
      <c r="H10" s="81"/>
      <c r="I10" s="82"/>
    </row>
    <row r="11" spans="1:10" s="67" customFormat="1" ht="18.75" thickBot="1" x14ac:dyDescent="0.3">
      <c r="A11" s="83" t="s">
        <v>90</v>
      </c>
      <c r="B11" s="83"/>
      <c r="C11" s="83"/>
      <c r="D11" s="83"/>
      <c r="E11" s="83"/>
      <c r="F11" s="83"/>
      <c r="G11" s="84"/>
      <c r="H11" s="76" t="s">
        <v>37</v>
      </c>
      <c r="I11" s="77"/>
      <c r="J11" s="78" t="s">
        <v>89</v>
      </c>
    </row>
    <row r="12" spans="1:10" s="7" customFormat="1" ht="12.75" x14ac:dyDescent="0.2">
      <c r="A12" s="79" t="s">
        <v>91</v>
      </c>
      <c r="B12" s="80"/>
      <c r="C12" s="80"/>
      <c r="D12" s="80"/>
      <c r="E12" s="80"/>
      <c r="F12" s="80"/>
      <c r="G12" s="81"/>
      <c r="H12" s="81"/>
      <c r="I12" s="82"/>
    </row>
    <row r="13" spans="1:10" s="67" customFormat="1" ht="18" x14ac:dyDescent="0.25">
      <c r="A13" s="85"/>
      <c r="B13" s="86"/>
      <c r="C13" s="86"/>
      <c r="D13" s="86"/>
      <c r="E13" s="87" t="s">
        <v>39</v>
      </c>
      <c r="F13" s="87"/>
    </row>
    <row r="14" spans="1:10" s="67" customFormat="1" x14ac:dyDescent="0.25">
      <c r="A14" s="16" t="s">
        <v>12</v>
      </c>
      <c r="B14" s="16" t="s">
        <v>92</v>
      </c>
      <c r="C14" s="16" t="s">
        <v>93</v>
      </c>
      <c r="D14" s="16" t="s">
        <v>94</v>
      </c>
      <c r="E14" s="16" t="s">
        <v>95</v>
      </c>
      <c r="G14" s="88" t="s">
        <v>40</v>
      </c>
      <c r="H14" s="88"/>
    </row>
    <row r="15" spans="1:10" s="67" customFormat="1" x14ac:dyDescent="0.25">
      <c r="A15" s="89">
        <v>1</v>
      </c>
      <c r="B15" s="90">
        <v>-1.0999999999999999E-2</v>
      </c>
      <c r="C15" s="92">
        <v>-1.6999999999999999E-3</v>
      </c>
      <c r="D15" s="92">
        <v>1.18E-2</v>
      </c>
      <c r="E15" s="91">
        <v>-2.0299999999999999E-2</v>
      </c>
      <c r="F15" s="88"/>
      <c r="G15" s="88"/>
    </row>
    <row r="16" spans="1:10" s="67" customFormat="1" x14ac:dyDescent="0.25">
      <c r="A16" s="89">
        <v>2</v>
      </c>
      <c r="B16" s="90">
        <v>0.17960000000000001</v>
      </c>
      <c r="C16" s="92">
        <v>4.5949999999999998E-2</v>
      </c>
      <c r="D16" s="92">
        <v>-3.585E-2</v>
      </c>
      <c r="E16" s="91">
        <v>0.2656</v>
      </c>
      <c r="F16" s="88"/>
      <c r="G16" s="88"/>
    </row>
    <row r="17" spans="1:10" s="67" customFormat="1" x14ac:dyDescent="0.25">
      <c r="A17" s="89">
        <v>3</v>
      </c>
      <c r="B17" s="90">
        <v>0.24900000000000003</v>
      </c>
      <c r="C17" s="92">
        <v>6.3299999999999995E-2</v>
      </c>
      <c r="D17" s="92">
        <v>-5.3200000000000004E-2</v>
      </c>
      <c r="E17" s="91">
        <v>0.36970000000000008</v>
      </c>
    </row>
    <row r="18" spans="1:10" s="67" customFormat="1" x14ac:dyDescent="0.25">
      <c r="A18" s="89">
        <v>4</v>
      </c>
      <c r="B18" s="90">
        <v>0.28900000000000003</v>
      </c>
      <c r="C18" s="92">
        <v>7.3300000000000004E-2</v>
      </c>
      <c r="D18" s="92">
        <v>-6.3200000000000006E-2</v>
      </c>
      <c r="E18" s="91">
        <v>0.42970000000000008</v>
      </c>
    </row>
    <row r="19" spans="1:10" s="67" customFormat="1" x14ac:dyDescent="0.25">
      <c r="A19" s="89">
        <v>5</v>
      </c>
      <c r="B19" s="90">
        <v>-0.29699999999999999</v>
      </c>
      <c r="C19" s="92">
        <v>-7.3200000000000001E-2</v>
      </c>
      <c r="D19" s="92">
        <v>8.3299999999999999E-2</v>
      </c>
      <c r="E19" s="91">
        <v>-0.44929999999999998</v>
      </c>
    </row>
    <row r="20" spans="1:10" s="67" customFormat="1" x14ac:dyDescent="0.25">
      <c r="A20" s="89">
        <v>6</v>
      </c>
      <c r="B20" s="90">
        <v>0.31940000000000002</v>
      </c>
      <c r="C20" s="92">
        <v>8.09E-2</v>
      </c>
      <c r="D20" s="92">
        <v>-7.0800000000000002E-2</v>
      </c>
      <c r="E20" s="91">
        <v>0.4753</v>
      </c>
    </row>
    <row r="21" spans="1:10" s="67" customFormat="1" x14ac:dyDescent="0.25">
      <c r="A21" s="89">
        <v>7</v>
      </c>
      <c r="B21" s="90">
        <v>0.25740000000000002</v>
      </c>
      <c r="C21" s="92">
        <v>6.54E-2</v>
      </c>
      <c r="D21" s="92">
        <v>-5.5300000000000002E-2</v>
      </c>
      <c r="E21" s="91">
        <v>0.38230000000000003</v>
      </c>
    </row>
    <row r="22" spans="1:10" s="67" customFormat="1" x14ac:dyDescent="0.25">
      <c r="A22" s="89">
        <v>8</v>
      </c>
      <c r="B22" s="90">
        <v>0.26419999999999999</v>
      </c>
      <c r="C22" s="92">
        <v>6.7099999999999993E-2</v>
      </c>
      <c r="D22" s="92">
        <v>-5.7000000000000002E-2</v>
      </c>
      <c r="E22" s="91">
        <v>0.39250000000000002</v>
      </c>
    </row>
    <row r="23" spans="1:10" s="67" customFormat="1" x14ac:dyDescent="0.25">
      <c r="A23" s="89">
        <v>9</v>
      </c>
      <c r="B23" s="90">
        <v>7.6999999999999999E-2</v>
      </c>
      <c r="C23" s="92">
        <v>2.0300000000000002E-2</v>
      </c>
      <c r="D23" s="92">
        <v>-1.0200000000000001E-2</v>
      </c>
      <c r="E23" s="91">
        <v>0.11170000000000002</v>
      </c>
    </row>
    <row r="24" spans="1:10" s="67" customFormat="1" x14ac:dyDescent="0.25">
      <c r="A24" s="89">
        <v>10</v>
      </c>
      <c r="B24" s="90">
        <v>0.1996</v>
      </c>
      <c r="C24" s="92">
        <v>5.0949999999999995E-2</v>
      </c>
      <c r="D24" s="92">
        <v>-4.0849999999999997E-2</v>
      </c>
      <c r="E24" s="91">
        <v>0.29560000000000003</v>
      </c>
    </row>
    <row r="25" spans="1:10" s="67" customFormat="1" x14ac:dyDescent="0.25">
      <c r="A25" s="89">
        <v>11</v>
      </c>
      <c r="B25" s="90">
        <v>-0.11559999999999998</v>
      </c>
      <c r="C25" s="92">
        <v>-2.7849999999999996E-2</v>
      </c>
      <c r="D25" s="92">
        <v>3.7949999999999998E-2</v>
      </c>
      <c r="E25" s="91">
        <v>-0.1772</v>
      </c>
      <c r="F25" s="93" t="s">
        <v>15</v>
      </c>
      <c r="G25" s="94"/>
      <c r="H25" s="94"/>
      <c r="I25" s="94"/>
      <c r="J25" s="95"/>
    </row>
    <row r="26" spans="1:10" s="67" customFormat="1" x14ac:dyDescent="0.25">
      <c r="A26" s="96">
        <v>12</v>
      </c>
      <c r="B26" s="90">
        <v>-0.13699999999999998</v>
      </c>
      <c r="C26" s="97">
        <v>-3.32E-2</v>
      </c>
      <c r="D26" s="97">
        <v>4.3299999999999998E-2</v>
      </c>
      <c r="E26" s="98">
        <v>-0.20929999999999999</v>
      </c>
      <c r="F26" s="93"/>
      <c r="G26" s="94"/>
      <c r="H26" s="94"/>
      <c r="I26" s="94"/>
      <c r="J26" s="95"/>
    </row>
    <row r="27" spans="1:10" s="23" customFormat="1" x14ac:dyDescent="0.25">
      <c r="F27" s="99"/>
      <c r="G27" s="99"/>
      <c r="H27" s="99"/>
      <c r="I27" s="99"/>
      <c r="J27" s="100"/>
    </row>
    <row r="28" spans="1:10" x14ac:dyDescent="0.25">
      <c r="A28" s="101" t="s">
        <v>96</v>
      </c>
      <c r="B28" s="102">
        <f>AVERAGE(B15:B27)</f>
        <v>0.10621666666666668</v>
      </c>
      <c r="C28" s="102">
        <f>AVERAGE(C15:C27)</f>
        <v>2.7604166666666666E-2</v>
      </c>
      <c r="D28" s="102">
        <f>AVERAGE(D15:D27)</f>
        <v>-1.7504166666666668E-2</v>
      </c>
      <c r="E28" s="102">
        <f t="shared" ref="E28" si="0">AVERAGE(E15:E27)</f>
        <v>0.155525</v>
      </c>
    </row>
    <row r="29" spans="1:10" x14ac:dyDescent="0.25">
      <c r="A29" s="101"/>
      <c r="B29" s="102"/>
      <c r="C29" s="102"/>
      <c r="D29" s="102"/>
    </row>
    <row r="30" spans="1:10" x14ac:dyDescent="0.25">
      <c r="B30" s="103" t="s">
        <v>97</v>
      </c>
      <c r="C30" s="90">
        <f>0.25*9000</f>
        <v>2250</v>
      </c>
      <c r="G30" s="91"/>
    </row>
    <row r="31" spans="1:10" x14ac:dyDescent="0.25">
      <c r="B31" s="90">
        <f>10.62*0.25</f>
        <v>2.6549999999999998</v>
      </c>
      <c r="C31" s="90">
        <f>2.76*0.25</f>
        <v>0.69</v>
      </c>
      <c r="D31" s="90">
        <f>-7.75*0.25</f>
        <v>-1.9375</v>
      </c>
      <c r="E31" s="90">
        <f>15.55*0.25</f>
        <v>3.8875000000000002</v>
      </c>
      <c r="G31" s="91"/>
    </row>
    <row r="32" spans="1:10" x14ac:dyDescent="0.25">
      <c r="B32" s="101" t="s">
        <v>98</v>
      </c>
      <c r="G32" s="91"/>
    </row>
    <row r="33" spans="2:7" x14ac:dyDescent="0.25">
      <c r="B33" s="102">
        <f>AVERAGE(B15:B28)</f>
        <v>0.10621666666666668</v>
      </c>
      <c r="G33" s="91"/>
    </row>
    <row r="35" spans="2:7" x14ac:dyDescent="0.25">
      <c r="C35" s="90" t="s">
        <v>12</v>
      </c>
      <c r="D35" s="90" t="s">
        <v>92</v>
      </c>
      <c r="E35" s="90" t="s">
        <v>93</v>
      </c>
      <c r="F35" s="90" t="s">
        <v>94</v>
      </c>
      <c r="G35" s="90" t="s">
        <v>95</v>
      </c>
    </row>
    <row r="36" spans="2:7" x14ac:dyDescent="0.25">
      <c r="C36" s="90">
        <v>1</v>
      </c>
      <c r="D36" s="90">
        <v>-1.0999999999999999E-2</v>
      </c>
      <c r="E36" s="92">
        <v>-1.6999999999999999E-3</v>
      </c>
      <c r="F36" s="92">
        <v>1.18E-2</v>
      </c>
      <c r="G36" s="91">
        <v>-2.0299999999999999E-2</v>
      </c>
    </row>
    <row r="37" spans="2:7" x14ac:dyDescent="0.25">
      <c r="C37" s="90">
        <v>2</v>
      </c>
      <c r="D37" s="90">
        <v>0.17960000000000001</v>
      </c>
      <c r="E37" s="92">
        <v>4.5949999999999998E-2</v>
      </c>
      <c r="F37" s="92">
        <v>-3.585E-2</v>
      </c>
      <c r="G37" s="91">
        <v>0.2656</v>
      </c>
    </row>
    <row r="38" spans="2:7" x14ac:dyDescent="0.25">
      <c r="C38" s="90">
        <v>3</v>
      </c>
      <c r="D38" s="90">
        <v>0.24900000000000003</v>
      </c>
      <c r="E38" s="92">
        <v>6.3299999999999995E-2</v>
      </c>
      <c r="F38" s="92">
        <v>-5.3200000000000004E-2</v>
      </c>
      <c r="G38" s="91">
        <v>0.36970000000000008</v>
      </c>
    </row>
    <row r="39" spans="2:7" x14ac:dyDescent="0.25">
      <c r="C39" s="90">
        <v>4</v>
      </c>
      <c r="D39" s="90">
        <v>0.28900000000000003</v>
      </c>
      <c r="E39" s="92">
        <v>7.3300000000000004E-2</v>
      </c>
      <c r="F39" s="92">
        <v>-6.3200000000000006E-2</v>
      </c>
      <c r="G39" s="91">
        <v>0.42970000000000008</v>
      </c>
    </row>
    <row r="40" spans="2:7" x14ac:dyDescent="0.25">
      <c r="C40" s="90">
        <v>5</v>
      </c>
      <c r="D40" s="90">
        <v>-0.29699999999999999</v>
      </c>
      <c r="E40" s="92">
        <v>-7.3200000000000001E-2</v>
      </c>
      <c r="F40" s="92">
        <v>8.3299999999999999E-2</v>
      </c>
      <c r="G40" s="91">
        <v>-0.44929999999999998</v>
      </c>
    </row>
    <row r="41" spans="2:7" x14ac:dyDescent="0.25">
      <c r="C41" s="90">
        <v>6</v>
      </c>
      <c r="D41" s="90">
        <v>0.31940000000000002</v>
      </c>
      <c r="E41" s="92">
        <v>8.09E-2</v>
      </c>
      <c r="F41" s="92">
        <v>-7.0800000000000002E-2</v>
      </c>
      <c r="G41" s="91">
        <v>0.4753</v>
      </c>
    </row>
    <row r="42" spans="2:7" x14ac:dyDescent="0.25">
      <c r="C42" s="90">
        <v>7</v>
      </c>
      <c r="D42" s="90">
        <v>0.25740000000000002</v>
      </c>
      <c r="E42" s="92">
        <v>6.54E-2</v>
      </c>
      <c r="F42" s="92">
        <v>-5.5300000000000002E-2</v>
      </c>
      <c r="G42" s="91">
        <v>0.38230000000000003</v>
      </c>
    </row>
    <row r="43" spans="2:7" x14ac:dyDescent="0.25">
      <c r="C43" s="90">
        <v>8</v>
      </c>
      <c r="D43" s="90">
        <v>0.26419999999999999</v>
      </c>
      <c r="E43" s="92">
        <v>6.7099999999999993E-2</v>
      </c>
      <c r="F43" s="92">
        <v>-5.7000000000000002E-2</v>
      </c>
      <c r="G43" s="91">
        <v>0.39250000000000002</v>
      </c>
    </row>
    <row r="44" spans="2:7" x14ac:dyDescent="0.25">
      <c r="C44" s="90">
        <v>9</v>
      </c>
      <c r="D44" s="90">
        <v>7.6999999999999999E-2</v>
      </c>
      <c r="E44" s="92">
        <v>2.0300000000000002E-2</v>
      </c>
      <c r="F44" s="92">
        <v>-1.0200000000000001E-2</v>
      </c>
      <c r="G44" s="91">
        <v>0.11170000000000002</v>
      </c>
    </row>
    <row r="45" spans="2:7" x14ac:dyDescent="0.25">
      <c r="C45" s="90">
        <v>10</v>
      </c>
      <c r="D45" s="90">
        <v>0.1996</v>
      </c>
      <c r="E45" s="92">
        <v>5.0949999999999995E-2</v>
      </c>
      <c r="F45" s="92">
        <v>-4.0849999999999997E-2</v>
      </c>
      <c r="G45" s="91">
        <v>0.29560000000000003</v>
      </c>
    </row>
    <row r="46" spans="2:7" x14ac:dyDescent="0.25">
      <c r="C46" s="90">
        <v>11</v>
      </c>
      <c r="D46" s="90">
        <v>-0.11559999999999998</v>
      </c>
      <c r="E46" s="92">
        <v>-2.7849999999999996E-2</v>
      </c>
      <c r="F46" s="92">
        <v>3.7949999999999998E-2</v>
      </c>
      <c r="G46" s="91">
        <v>-0.1772</v>
      </c>
    </row>
    <row r="47" spans="2:7" x14ac:dyDescent="0.25">
      <c r="C47" s="90">
        <v>12</v>
      </c>
      <c r="D47" s="90">
        <v>-0.13699999999999998</v>
      </c>
      <c r="E47" s="97">
        <v>-3.32E-2</v>
      </c>
      <c r="F47" s="97">
        <v>4.3299999999999998E-2</v>
      </c>
      <c r="G47" s="98">
        <v>-0.20929999999999999</v>
      </c>
    </row>
    <row r="49" spans="2:11" x14ac:dyDescent="0.25">
      <c r="B49" s="90" t="s">
        <v>102</v>
      </c>
      <c r="D49" s="90" t="s">
        <v>92</v>
      </c>
      <c r="E49" s="90" t="s">
        <v>93</v>
      </c>
      <c r="F49" s="90" t="s">
        <v>94</v>
      </c>
      <c r="G49" s="90" t="s">
        <v>95</v>
      </c>
    </row>
    <row r="50" spans="2:11" x14ac:dyDescent="0.25">
      <c r="B50" s="90">
        <v>0.25</v>
      </c>
      <c r="C50" s="90" t="s">
        <v>92</v>
      </c>
      <c r="D50" s="90">
        <f t="array" ref="D50:G53">(MMULT(TRANSPOSE(D36:G47),D36:G47))/(11)</f>
        <v>5.2916585454545466E-2</v>
      </c>
      <c r="E50" s="90">
        <v>1.3350812727272732E-2</v>
      </c>
      <c r="F50" s="90">
        <v>-1.2180498181818183E-2</v>
      </c>
      <c r="G50" s="90">
        <v>7.8934561818181828E-2</v>
      </c>
      <c r="I50" s="90" t="s">
        <v>100</v>
      </c>
      <c r="J50" s="90">
        <f t="array" ref="J50">MMULT(TRANSPOSE(B50:B53),MMULT(D50:G53,B50:B53))</f>
        <v>2.0901371761363644E-2</v>
      </c>
    </row>
    <row r="51" spans="2:11" x14ac:dyDescent="0.25">
      <c r="B51" s="90">
        <v>0.25</v>
      </c>
      <c r="C51" s="90" t="s">
        <v>93</v>
      </c>
      <c r="D51" s="90">
        <v>1.3350812727272732E-2</v>
      </c>
      <c r="E51" s="90">
        <v>3.369322499999999E-3</v>
      </c>
      <c r="F51" s="90">
        <v>-3.0651747727272732E-3</v>
      </c>
      <c r="G51" s="90">
        <v>1.9911787272727275E-2</v>
      </c>
      <c r="I51" s="90" t="s">
        <v>101</v>
      </c>
      <c r="J51" s="90">
        <f>SQRT(J50)</f>
        <v>0.14457306720604512</v>
      </c>
      <c r="K51" s="104">
        <v>0.14449999999999999</v>
      </c>
    </row>
    <row r="52" spans="2:11" x14ac:dyDescent="0.25">
      <c r="B52" s="90">
        <v>0.25</v>
      </c>
      <c r="C52" s="90" t="s">
        <v>94</v>
      </c>
      <c r="D52" s="90">
        <v>-1.2180498181818183E-2</v>
      </c>
      <c r="E52" s="90">
        <v>-3.0651747727272732E-3</v>
      </c>
      <c r="F52" s="90">
        <v>2.8723106818181825E-3</v>
      </c>
      <c r="G52" s="90">
        <v>-1.8198184545454545E-2</v>
      </c>
    </row>
    <row r="53" spans="2:11" x14ac:dyDescent="0.25">
      <c r="B53" s="90">
        <v>0.25</v>
      </c>
      <c r="C53" s="90" t="s">
        <v>95</v>
      </c>
      <c r="D53" s="90">
        <v>7.8934561818181828E-2</v>
      </c>
      <c r="E53" s="90">
        <v>1.9911787272727275E-2</v>
      </c>
      <c r="F53" s="90">
        <v>-1.8198184545454545E-2</v>
      </c>
      <c r="G53" s="90">
        <v>0.11775712090909093</v>
      </c>
    </row>
  </sheetData>
  <mergeCells count="7">
    <mergeCell ref="F25:J27"/>
    <mergeCell ref="H7:I7"/>
    <mergeCell ref="A9:F9"/>
    <mergeCell ref="H9:I9"/>
    <mergeCell ref="A11:G11"/>
    <mergeCell ref="H11:I11"/>
    <mergeCell ref="E13:F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7"/>
  <sheetViews>
    <sheetView topLeftCell="A13" workbookViewId="0">
      <selection activeCell="D30" sqref="D30"/>
    </sheetView>
  </sheetViews>
  <sheetFormatPr defaultRowHeight="15.75" x14ac:dyDescent="0.25"/>
  <cols>
    <col min="1" max="16384" width="9" style="8"/>
  </cols>
  <sheetData>
    <row r="2" spans="2:13" ht="18" x14ac:dyDescent="0.25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ht="18" x14ac:dyDescent="0.25">
      <c r="B3" s="9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ht="18" x14ac:dyDescent="0.25">
      <c r="B4" s="9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x14ac:dyDescent="0.25">
      <c r="B5" s="9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2:13" ht="18" x14ac:dyDescent="0.25">
      <c r="B6" s="9" t="s">
        <v>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2:13" ht="18" x14ac:dyDescent="0.25">
      <c r="B7" s="9" t="s">
        <v>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 ht="18" x14ac:dyDescent="0.25">
      <c r="B8" s="9" t="s">
        <v>6</v>
      </c>
      <c r="C8" s="7"/>
      <c r="D8" s="7"/>
      <c r="E8" s="7"/>
      <c r="F8" s="7"/>
      <c r="G8" s="7"/>
      <c r="H8" s="10">
        <v>1.6E-2</v>
      </c>
      <c r="I8" s="9" t="s">
        <v>7</v>
      </c>
      <c r="J8" s="7"/>
      <c r="K8" s="7"/>
      <c r="L8" s="7"/>
      <c r="M8" s="11">
        <v>3.5999999999999997E-2</v>
      </c>
    </row>
    <row r="9" spans="2:13" ht="18" x14ac:dyDescent="0.25">
      <c r="B9" s="9"/>
      <c r="C9" s="7"/>
      <c r="D9" s="7"/>
      <c r="E9" s="7"/>
      <c r="F9" s="7"/>
      <c r="G9" s="7"/>
      <c r="H9" s="7"/>
      <c r="I9" s="9"/>
      <c r="J9" s="7"/>
      <c r="K9" s="7"/>
      <c r="L9" s="7"/>
      <c r="M9" s="7"/>
    </row>
    <row r="10" spans="2:13" x14ac:dyDescent="0.25">
      <c r="B10" s="12" t="s">
        <v>8</v>
      </c>
      <c r="C10" s="13"/>
      <c r="D10" s="13"/>
      <c r="E10" s="13"/>
      <c r="F10" s="13"/>
      <c r="G10" s="13"/>
      <c r="H10" s="13"/>
      <c r="I10" s="7"/>
      <c r="J10" s="7"/>
      <c r="K10" s="7"/>
      <c r="L10" s="7"/>
      <c r="M10" s="7"/>
    </row>
    <row r="11" spans="2:13" x14ac:dyDescent="0.25">
      <c r="B11" s="7" t="s">
        <v>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2:13" x14ac:dyDescent="0.25">
      <c r="B12" s="12" t="s">
        <v>10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spans="2:13" x14ac:dyDescent="0.25">
      <c r="B13" s="15" t="s">
        <v>11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2:13" ht="26.25" x14ac:dyDescent="0.25">
      <c r="B14" s="16" t="s">
        <v>12</v>
      </c>
      <c r="C14" s="17" t="s">
        <v>13</v>
      </c>
      <c r="D14" s="17" t="s">
        <v>16</v>
      </c>
      <c r="E14" s="17"/>
      <c r="F14" s="17" t="s">
        <v>14</v>
      </c>
      <c r="G14" s="7"/>
      <c r="H14" s="7"/>
      <c r="I14" s="7"/>
      <c r="J14" s="7"/>
      <c r="K14" s="7"/>
      <c r="L14" s="7"/>
      <c r="M14" s="7"/>
    </row>
    <row r="15" spans="2:13" x14ac:dyDescent="0.25">
      <c r="B15" s="16">
        <v>1</v>
      </c>
      <c r="C15" s="18">
        <v>-0.34499999999999992</v>
      </c>
      <c r="D15" s="18"/>
      <c r="E15" s="18"/>
      <c r="F15" s="18">
        <v>-0.7</v>
      </c>
      <c r="G15" s="19"/>
      <c r="H15" s="19"/>
      <c r="I15" s="19"/>
      <c r="J15" s="19"/>
      <c r="K15" s="19"/>
      <c r="L15" s="7"/>
      <c r="M15" s="7"/>
    </row>
    <row r="16" spans="2:13" x14ac:dyDescent="0.25">
      <c r="B16" s="16">
        <v>2</v>
      </c>
      <c r="C16" s="18">
        <v>6.8025000000000002</v>
      </c>
      <c r="D16" s="18">
        <f>(C16-C15)/C15</f>
        <v>-20.717391304347831</v>
      </c>
      <c r="E16" s="18"/>
      <c r="F16" s="18">
        <v>8.83</v>
      </c>
      <c r="G16" s="18">
        <f>(F16-F15)/F15</f>
        <v>-13.614285714285714</v>
      </c>
      <c r="H16" s="19"/>
      <c r="I16" s="19"/>
      <c r="J16" s="19"/>
      <c r="K16" s="19"/>
      <c r="L16" s="7"/>
      <c r="M16" s="7"/>
    </row>
    <row r="17" spans="2:13" x14ac:dyDescent="0.25">
      <c r="B17" s="16">
        <v>3</v>
      </c>
      <c r="C17" s="18">
        <v>9.4050000000000011</v>
      </c>
      <c r="D17" s="18">
        <f t="shared" ref="D17:D26" si="0">(C17-C16)/C16</f>
        <v>0.38257993384785016</v>
      </c>
      <c r="E17" s="18"/>
      <c r="F17" s="18">
        <v>12.3</v>
      </c>
      <c r="G17" s="18">
        <f t="shared" ref="G17:G26" si="1">(F17-F16)/F16</f>
        <v>0.3929784824462062</v>
      </c>
      <c r="H17" s="19"/>
      <c r="I17" s="19"/>
      <c r="J17" s="19"/>
      <c r="K17" s="19"/>
      <c r="L17" s="7"/>
      <c r="M17" s="7"/>
    </row>
    <row r="18" spans="2:13" x14ac:dyDescent="0.25">
      <c r="B18" s="16">
        <v>4</v>
      </c>
      <c r="C18" s="18">
        <v>10.905000000000001</v>
      </c>
      <c r="D18" s="18">
        <f t="shared" si="0"/>
        <v>0.15948963317384368</v>
      </c>
      <c r="E18" s="18"/>
      <c r="F18" s="18">
        <v>14.3</v>
      </c>
      <c r="G18" s="18">
        <f t="shared" si="1"/>
        <v>0.16260162601626016</v>
      </c>
      <c r="H18" s="19"/>
      <c r="I18" s="19"/>
      <c r="J18" s="19"/>
      <c r="K18" s="20"/>
      <c r="L18" s="7"/>
      <c r="M18" s="7"/>
    </row>
    <row r="19" spans="2:13" x14ac:dyDescent="0.25">
      <c r="B19" s="16">
        <v>5</v>
      </c>
      <c r="C19" s="18">
        <v>-11.07</v>
      </c>
      <c r="D19" s="18">
        <f t="shared" si="0"/>
        <v>-2.015130674002751</v>
      </c>
      <c r="E19" s="18"/>
      <c r="F19" s="18">
        <v>-15</v>
      </c>
      <c r="G19" s="18">
        <f t="shared" si="1"/>
        <v>-2.0489510489510487</v>
      </c>
      <c r="H19" s="19"/>
      <c r="I19" s="19"/>
      <c r="J19" s="19"/>
      <c r="K19" s="20"/>
      <c r="L19" s="7"/>
      <c r="M19" s="7"/>
    </row>
    <row r="20" spans="2:13" x14ac:dyDescent="0.25">
      <c r="B20" s="16">
        <v>6</v>
      </c>
      <c r="C20" s="18">
        <v>12.045</v>
      </c>
      <c r="D20" s="18">
        <f t="shared" si="0"/>
        <v>-2.0880758807588076</v>
      </c>
      <c r="E20" s="18"/>
      <c r="F20" s="18">
        <v>15.82</v>
      </c>
      <c r="G20" s="18">
        <f t="shared" si="1"/>
        <v>-2.0546666666666669</v>
      </c>
      <c r="H20" s="19"/>
      <c r="I20" s="19"/>
      <c r="J20" s="19"/>
      <c r="K20" s="20"/>
      <c r="L20" s="7"/>
      <c r="M20" s="7"/>
    </row>
    <row r="21" spans="2:13" x14ac:dyDescent="0.25">
      <c r="B21" s="16">
        <v>7</v>
      </c>
      <c r="C21" s="18">
        <v>9.7200000000000006</v>
      </c>
      <c r="D21" s="18">
        <f t="shared" si="0"/>
        <v>-0.19302615193026146</v>
      </c>
      <c r="E21" s="18"/>
      <c r="F21" s="18">
        <v>12.72</v>
      </c>
      <c r="G21" s="18">
        <f t="shared" si="1"/>
        <v>-0.19595448798988618</v>
      </c>
      <c r="H21" s="19"/>
      <c r="I21" s="19"/>
      <c r="J21" s="19"/>
      <c r="K21" s="20"/>
      <c r="L21" s="7"/>
      <c r="M21" s="7"/>
    </row>
    <row r="22" spans="2:13" x14ac:dyDescent="0.25">
      <c r="B22" s="16">
        <v>8</v>
      </c>
      <c r="C22" s="18">
        <v>9.9749999999999996</v>
      </c>
      <c r="D22" s="18">
        <f t="shared" si="0"/>
        <v>2.6234567901234462E-2</v>
      </c>
      <c r="E22" s="18"/>
      <c r="F22" s="18">
        <v>13.06</v>
      </c>
      <c r="G22" s="18">
        <f t="shared" si="1"/>
        <v>2.672955974842766E-2</v>
      </c>
      <c r="H22" s="19"/>
      <c r="I22" s="19"/>
      <c r="J22" s="19"/>
      <c r="K22" s="20"/>
      <c r="L22" s="7"/>
      <c r="M22" s="7"/>
    </row>
    <row r="23" spans="2:13" x14ac:dyDescent="0.25">
      <c r="B23" s="16">
        <v>9</v>
      </c>
      <c r="C23" s="18">
        <v>2.9550000000000005</v>
      </c>
      <c r="D23" s="18">
        <f t="shared" si="0"/>
        <v>-0.70375939849624058</v>
      </c>
      <c r="E23" s="18"/>
      <c r="F23" s="18">
        <v>3.7</v>
      </c>
      <c r="G23" s="18">
        <f t="shared" si="1"/>
        <v>-0.71669218989280237</v>
      </c>
      <c r="H23" s="19"/>
      <c r="I23" s="19"/>
      <c r="J23" s="19"/>
      <c r="K23" s="20"/>
      <c r="L23" s="7"/>
      <c r="M23" s="7"/>
    </row>
    <row r="24" spans="2:13" x14ac:dyDescent="0.25">
      <c r="B24" s="16">
        <v>10</v>
      </c>
      <c r="C24" s="18">
        <v>7.5525000000000002</v>
      </c>
      <c r="D24" s="18">
        <f t="shared" si="0"/>
        <v>1.5558375634517765</v>
      </c>
      <c r="E24" s="18"/>
      <c r="F24" s="21">
        <v>9.83</v>
      </c>
      <c r="G24" s="18">
        <f t="shared" si="1"/>
        <v>1.6567567567567567</v>
      </c>
      <c r="H24" s="19"/>
      <c r="I24" s="19"/>
      <c r="J24" s="19"/>
      <c r="K24" s="20"/>
      <c r="L24" s="7"/>
      <c r="M24" s="7"/>
    </row>
    <row r="25" spans="2:13" x14ac:dyDescent="0.25">
      <c r="B25" s="16">
        <v>11</v>
      </c>
      <c r="C25" s="18">
        <v>-4.2675000000000001</v>
      </c>
      <c r="D25" s="18">
        <f t="shared" si="0"/>
        <v>-1.5650446871896724</v>
      </c>
      <c r="E25" s="18"/>
      <c r="F25" s="18">
        <v>-5.93</v>
      </c>
      <c r="G25" s="18">
        <f t="shared" si="1"/>
        <v>-1.6032553407934893</v>
      </c>
      <c r="H25" s="19"/>
      <c r="I25" s="19"/>
      <c r="J25" s="19"/>
      <c r="K25" s="20"/>
      <c r="L25" s="7"/>
      <c r="M25" s="7"/>
    </row>
    <row r="26" spans="2:13" x14ac:dyDescent="0.25">
      <c r="B26" s="16">
        <v>12</v>
      </c>
      <c r="C26" s="18">
        <v>-5.07</v>
      </c>
      <c r="D26" s="18">
        <f t="shared" si="0"/>
        <v>0.18804920913884013</v>
      </c>
      <c r="E26" s="18"/>
      <c r="F26" s="18">
        <v>-7</v>
      </c>
      <c r="G26" s="18">
        <f t="shared" si="1"/>
        <v>0.18043844856661051</v>
      </c>
      <c r="H26" s="19"/>
      <c r="I26" s="19"/>
      <c r="J26" s="19"/>
      <c r="K26" s="20"/>
      <c r="L26" s="7"/>
      <c r="M26" s="7"/>
    </row>
    <row r="27" spans="2:13" x14ac:dyDescent="0.25">
      <c r="B27" s="22"/>
      <c r="C27" s="22"/>
      <c r="D27" s="22"/>
      <c r="E27" s="22"/>
      <c r="F27" s="22"/>
      <c r="G27" s="22" t="s">
        <v>15</v>
      </c>
      <c r="H27" s="23"/>
      <c r="I27" s="23"/>
      <c r="J27" s="23"/>
      <c r="K27" s="22"/>
      <c r="L27" s="22"/>
      <c r="M27" s="22"/>
    </row>
    <row r="28" spans="2:13" x14ac:dyDescent="0.25">
      <c r="C28" s="24">
        <f>AVERAGE(C15:C27)</f>
        <v>4.0506250000000001</v>
      </c>
      <c r="D28" s="24"/>
      <c r="E28" s="24"/>
      <c r="F28" s="24">
        <f>AVERAGE(F15:F27)</f>
        <v>5.1608333333333336</v>
      </c>
    </row>
    <row r="29" spans="2:13" x14ac:dyDescent="0.25">
      <c r="D29" s="8">
        <f>_xlfn.VAR.S(D16:D26)</f>
        <v>38.655852501997614</v>
      </c>
      <c r="G29" s="8">
        <f>_xlfn.VAR.S(G16:G26)</f>
        <v>17.10001545809185</v>
      </c>
    </row>
    <row r="30" spans="2:13" x14ac:dyDescent="0.25">
      <c r="C30" s="8" t="s">
        <v>17</v>
      </c>
      <c r="D30" s="8">
        <f>_xlfn.COVARIANCE.S(D16:D26,G16:G26)</f>
        <v>25.587276741672937</v>
      </c>
    </row>
    <row r="31" spans="2:13" x14ac:dyDescent="0.25">
      <c r="C31" s="8" t="s">
        <v>18</v>
      </c>
      <c r="D31" s="8">
        <f>D30/D29</f>
        <v>0.66192504072573921</v>
      </c>
    </row>
    <row r="33" spans="3:4" x14ac:dyDescent="0.25">
      <c r="C33" s="8" t="s">
        <v>19</v>
      </c>
    </row>
    <row r="34" spans="3:4" x14ac:dyDescent="0.25">
      <c r="C34" s="8" t="s">
        <v>20</v>
      </c>
      <c r="D34" s="8">
        <v>1.6</v>
      </c>
    </row>
    <row r="35" spans="3:4" x14ac:dyDescent="0.25">
      <c r="C35" s="8" t="s">
        <v>21</v>
      </c>
      <c r="D35" s="8">
        <v>3.6</v>
      </c>
    </row>
    <row r="36" spans="3:4" x14ac:dyDescent="0.25">
      <c r="C36" s="8" t="s">
        <v>18</v>
      </c>
      <c r="D36" s="8">
        <v>0.66</v>
      </c>
    </row>
    <row r="37" spans="3:4" x14ac:dyDescent="0.25">
      <c r="C37" s="8" t="s">
        <v>22</v>
      </c>
      <c r="D37" s="8">
        <f>D34+D36*(D35)</f>
        <v>3.9760000000000004</v>
      </c>
    </row>
  </sheetData>
  <mergeCells count="2">
    <mergeCell ref="B10:H10"/>
    <mergeCell ref="B12:M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C24" sqref="C24"/>
    </sheetView>
  </sheetViews>
  <sheetFormatPr defaultRowHeight="15.75" x14ac:dyDescent="0.25"/>
  <cols>
    <col min="3" max="3" width="14.5" bestFit="1" customWidth="1"/>
  </cols>
  <sheetData>
    <row r="1" spans="1:8" ht="18" x14ac:dyDescent="0.25">
      <c r="A1" s="1" t="s">
        <v>23</v>
      </c>
      <c r="B1" s="2"/>
      <c r="C1" s="2"/>
      <c r="D1" s="2"/>
      <c r="E1" s="2"/>
      <c r="F1" s="2"/>
      <c r="G1" s="2"/>
      <c r="H1" s="25"/>
    </row>
    <row r="2" spans="1:8" ht="18" x14ac:dyDescent="0.25">
      <c r="A2" s="3" t="s">
        <v>24</v>
      </c>
      <c r="B2" s="2"/>
      <c r="C2" s="2"/>
      <c r="D2" s="2"/>
      <c r="E2" s="2"/>
      <c r="F2" s="2"/>
      <c r="G2" s="2"/>
      <c r="H2" s="2"/>
    </row>
    <row r="3" spans="1:8" ht="18" x14ac:dyDescent="0.25">
      <c r="A3" s="3" t="s">
        <v>25</v>
      </c>
      <c r="B3" s="2"/>
      <c r="C3" s="2"/>
      <c r="D3" s="2"/>
      <c r="E3" s="2"/>
      <c r="F3" s="2"/>
      <c r="G3" s="2"/>
      <c r="H3" s="2"/>
    </row>
    <row r="4" spans="1:8" ht="18" x14ac:dyDescent="0.25">
      <c r="A4" s="3" t="s">
        <v>26</v>
      </c>
      <c r="B4" s="2"/>
      <c r="C4" s="2"/>
      <c r="D4" s="2"/>
      <c r="E4" s="26">
        <v>53.6</v>
      </c>
      <c r="F4" s="3" t="s">
        <v>27</v>
      </c>
      <c r="G4" s="2"/>
      <c r="H4" s="2"/>
    </row>
    <row r="5" spans="1:8" ht="18" x14ac:dyDescent="0.25">
      <c r="A5" s="3" t="s">
        <v>28</v>
      </c>
      <c r="B5" s="2"/>
      <c r="C5" s="2"/>
      <c r="D5" s="2"/>
      <c r="E5" s="2"/>
      <c r="F5" s="2"/>
      <c r="G5" s="2"/>
      <c r="H5" s="2"/>
    </row>
    <row r="6" spans="1:8" ht="18" x14ac:dyDescent="0.25">
      <c r="A6" s="27">
        <v>17.725000000000001</v>
      </c>
      <c r="B6" s="3" t="s">
        <v>29</v>
      </c>
      <c r="C6" s="2"/>
      <c r="D6" s="28">
        <v>10000</v>
      </c>
      <c r="E6" s="3" t="s">
        <v>30</v>
      </c>
      <c r="F6" s="2"/>
      <c r="G6" s="2"/>
      <c r="H6" s="2"/>
    </row>
    <row r="7" spans="1:8" ht="18" x14ac:dyDescent="0.25">
      <c r="A7" s="3" t="s">
        <v>31</v>
      </c>
      <c r="B7" s="2"/>
      <c r="C7" s="2"/>
      <c r="D7" s="2"/>
      <c r="E7" s="2"/>
      <c r="F7" s="29">
        <v>3.8300000000000001E-2</v>
      </c>
      <c r="G7" s="3" t="s">
        <v>32</v>
      </c>
      <c r="H7" s="2"/>
    </row>
    <row r="8" spans="1:8" ht="18" x14ac:dyDescent="0.25">
      <c r="A8" s="3" t="s">
        <v>33</v>
      </c>
      <c r="B8" s="2"/>
      <c r="C8" s="30">
        <v>10183</v>
      </c>
      <c r="D8" s="3" t="s">
        <v>34</v>
      </c>
      <c r="E8" s="2"/>
      <c r="F8" s="2"/>
      <c r="G8" s="2"/>
      <c r="H8" s="2"/>
    </row>
    <row r="9" spans="1:8" ht="18" x14ac:dyDescent="0.25">
      <c r="A9" s="3" t="s">
        <v>35</v>
      </c>
      <c r="B9" s="2"/>
      <c r="C9" s="30"/>
      <c r="D9" s="31"/>
      <c r="E9" s="3"/>
      <c r="F9" s="2"/>
      <c r="G9" s="2"/>
      <c r="H9" s="2"/>
    </row>
    <row r="10" spans="1:8" ht="16.5" thickBot="1" x14ac:dyDescent="0.3">
      <c r="A10" s="2"/>
      <c r="B10" s="2"/>
      <c r="C10" s="2"/>
      <c r="D10" s="2"/>
      <c r="E10" s="2"/>
      <c r="F10" s="2"/>
      <c r="G10" s="2"/>
      <c r="H10" s="2"/>
    </row>
    <row r="11" spans="1:8" ht="18.75" thickBot="1" x14ac:dyDescent="0.3">
      <c r="A11" s="3" t="s">
        <v>36</v>
      </c>
      <c r="B11" s="2"/>
      <c r="C11" s="2"/>
      <c r="D11" s="2"/>
      <c r="E11" s="2"/>
      <c r="F11" s="32" t="s">
        <v>37</v>
      </c>
      <c r="G11" s="33"/>
      <c r="H11" s="2"/>
    </row>
    <row r="12" spans="1:8" ht="18" x14ac:dyDescent="0.25">
      <c r="A12" s="2" t="s">
        <v>38</v>
      </c>
      <c r="B12" s="2"/>
      <c r="C12" s="2"/>
      <c r="D12" s="2"/>
      <c r="E12" s="2"/>
      <c r="F12" s="34" t="s">
        <v>39</v>
      </c>
      <c r="G12" s="35"/>
      <c r="H12" s="2"/>
    </row>
    <row r="13" spans="1:8" x14ac:dyDescent="0.25">
      <c r="A13" s="2"/>
      <c r="B13" s="2"/>
      <c r="C13" s="2"/>
      <c r="D13" s="2"/>
      <c r="E13" s="2"/>
      <c r="F13" s="36" t="s">
        <v>40</v>
      </c>
      <c r="G13" s="2"/>
      <c r="H13" s="2"/>
    </row>
    <row r="14" spans="1:8" x14ac:dyDescent="0.25">
      <c r="A14" s="5" t="s">
        <v>15</v>
      </c>
      <c r="B14" s="5"/>
      <c r="C14" s="5"/>
      <c r="D14" s="5"/>
      <c r="E14" s="5"/>
      <c r="F14" s="5"/>
      <c r="G14" s="5"/>
      <c r="H14" s="5"/>
    </row>
    <row r="15" spans="1:8" x14ac:dyDescent="0.25">
      <c r="A15" s="37"/>
      <c r="B15" s="37"/>
      <c r="C15" s="37"/>
      <c r="D15" s="37"/>
      <c r="E15" s="37"/>
      <c r="F15" s="37"/>
      <c r="G15" s="37"/>
      <c r="H15" s="37"/>
    </row>
    <row r="16" spans="1:8" x14ac:dyDescent="0.25">
      <c r="A16" s="37"/>
      <c r="B16" s="37" t="s">
        <v>41</v>
      </c>
      <c r="C16" s="40">
        <f>53.6*1000000*17.73</f>
        <v>950328000</v>
      </c>
      <c r="D16" s="37"/>
      <c r="E16" s="37"/>
      <c r="F16" s="37"/>
      <c r="G16" s="37"/>
      <c r="H16" s="37"/>
    </row>
    <row r="17" spans="1:8" x14ac:dyDescent="0.25">
      <c r="A17" s="37"/>
      <c r="B17" s="38" t="s">
        <v>42</v>
      </c>
      <c r="C17" s="41">
        <f>10183*10000</f>
        <v>101830000</v>
      </c>
      <c r="D17" s="37"/>
      <c r="E17" s="37"/>
      <c r="F17" s="37"/>
      <c r="G17" s="37"/>
      <c r="H17" s="37"/>
    </row>
    <row r="18" spans="1:8" x14ac:dyDescent="0.25">
      <c r="A18" s="37"/>
      <c r="B18" s="37" t="s">
        <v>43</v>
      </c>
      <c r="C18" s="40">
        <f>SUM(C16:C17)</f>
        <v>1052158000</v>
      </c>
      <c r="D18" s="37"/>
      <c r="E18" s="37"/>
      <c r="F18" s="37"/>
      <c r="G18" s="37"/>
      <c r="H18" s="37"/>
    </row>
    <row r="19" spans="1:8" x14ac:dyDescent="0.25">
      <c r="A19" s="37"/>
      <c r="B19" s="37"/>
      <c r="C19" s="39"/>
      <c r="D19" s="37"/>
      <c r="E19" s="37"/>
      <c r="F19" s="37"/>
      <c r="G19" s="37"/>
      <c r="H19" s="37"/>
    </row>
    <row r="20" spans="1:8" x14ac:dyDescent="0.25">
      <c r="A20" s="37"/>
      <c r="B20" s="37" t="s">
        <v>44</v>
      </c>
      <c r="C20" s="39">
        <f>'Q2'!D37</f>
        <v>3.9760000000000004</v>
      </c>
      <c r="D20" s="37"/>
      <c r="E20" s="37"/>
      <c r="F20" s="37"/>
      <c r="G20" s="37"/>
      <c r="H20" s="37"/>
    </row>
    <row r="21" spans="1:8" x14ac:dyDescent="0.25">
      <c r="B21" s="37" t="s">
        <v>45</v>
      </c>
      <c r="C21">
        <v>3.83</v>
      </c>
    </row>
    <row r="22" spans="1:8" x14ac:dyDescent="0.25">
      <c r="B22" s="37" t="s">
        <v>47</v>
      </c>
    </row>
    <row r="23" spans="1:8" x14ac:dyDescent="0.25">
      <c r="B23" s="37" t="s">
        <v>46</v>
      </c>
      <c r="C23">
        <f>(C16/C18*C20)+(C17/C18*C21)*(0.3)</f>
        <v>3.7023971665852473</v>
      </c>
    </row>
  </sheetData>
  <mergeCells count="2">
    <mergeCell ref="F11:G11"/>
    <mergeCell ref="F12:G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16" workbookViewId="0">
      <selection activeCell="K28" sqref="K28"/>
    </sheetView>
  </sheetViews>
  <sheetFormatPr defaultRowHeight="15.75" x14ac:dyDescent="0.25"/>
  <cols>
    <col min="1" max="1" width="12" customWidth="1"/>
    <col min="2" max="2" width="17.75" customWidth="1"/>
    <col min="3" max="3" width="15.75" customWidth="1"/>
    <col min="4" max="4" width="9.375" bestFit="1" customWidth="1"/>
    <col min="5" max="5" width="11.625" bestFit="1" customWidth="1"/>
    <col min="6" max="6" width="12.375" customWidth="1"/>
    <col min="7" max="7" width="11.375" bestFit="1" customWidth="1"/>
    <col min="8" max="8" width="9.875" bestFit="1" customWidth="1"/>
  </cols>
  <sheetData>
    <row r="1" spans="1:14" ht="18" x14ac:dyDescent="0.25">
      <c r="A1" s="1" t="s">
        <v>48</v>
      </c>
      <c r="B1" s="2"/>
      <c r="C1" s="2"/>
      <c r="D1" s="2"/>
      <c r="E1" s="2"/>
      <c r="F1" s="2"/>
      <c r="G1" s="2"/>
      <c r="H1" s="42"/>
      <c r="I1" s="2"/>
      <c r="J1" s="2"/>
      <c r="K1" s="2"/>
      <c r="L1" s="2"/>
      <c r="M1" s="2"/>
      <c r="N1" s="2"/>
    </row>
    <row r="2" spans="1:14" ht="18" x14ac:dyDescent="0.25">
      <c r="A2" s="3" t="s">
        <v>49</v>
      </c>
      <c r="B2" s="2"/>
      <c r="C2" s="2"/>
      <c r="D2" s="2"/>
      <c r="E2" s="2"/>
      <c r="F2" s="43">
        <v>670000</v>
      </c>
      <c r="G2" s="3" t="s">
        <v>50</v>
      </c>
      <c r="H2" s="2"/>
      <c r="I2" s="2"/>
      <c r="J2" s="2"/>
      <c r="K2" s="2"/>
      <c r="L2" s="2"/>
      <c r="M2" s="2"/>
      <c r="N2" s="2"/>
    </row>
    <row r="3" spans="1:14" ht="18" x14ac:dyDescent="0.25">
      <c r="A3" s="3" t="s">
        <v>51</v>
      </c>
      <c r="B3" s="3"/>
      <c r="C3" s="44">
        <v>9100000</v>
      </c>
      <c r="D3" s="3" t="s">
        <v>52</v>
      </c>
      <c r="E3" s="3"/>
      <c r="F3" s="2"/>
      <c r="G3" s="2"/>
      <c r="H3" s="2"/>
      <c r="I3" s="2"/>
      <c r="J3" s="2"/>
      <c r="K3" s="2"/>
      <c r="L3" s="2"/>
      <c r="M3" s="2"/>
      <c r="N3" s="2"/>
    </row>
    <row r="4" spans="1:14" ht="18" x14ac:dyDescent="0.25">
      <c r="A4" s="3" t="s">
        <v>53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x14ac:dyDescent="0.25">
      <c r="A5" s="3" t="s">
        <v>54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8" x14ac:dyDescent="0.25">
      <c r="A6" s="3" t="s">
        <v>55</v>
      </c>
      <c r="B6" s="2"/>
      <c r="C6" s="45">
        <v>290000</v>
      </c>
      <c r="D6" s="3" t="s">
        <v>50</v>
      </c>
      <c r="E6" s="2"/>
      <c r="F6" s="44"/>
      <c r="G6" s="3"/>
      <c r="H6" s="2"/>
      <c r="I6" s="2"/>
      <c r="J6" s="2"/>
      <c r="K6" s="2"/>
      <c r="L6" s="2"/>
      <c r="M6" s="2"/>
      <c r="N6" s="46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" x14ac:dyDescent="0.25">
      <c r="A8" s="3" t="s">
        <v>56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" x14ac:dyDescent="0.25">
      <c r="A9" s="44">
        <v>848343</v>
      </c>
      <c r="B9" s="3" t="s">
        <v>57</v>
      </c>
      <c r="C9" s="2"/>
      <c r="D9" s="2"/>
      <c r="E9" s="2"/>
      <c r="F9" s="3"/>
      <c r="G9" s="2"/>
      <c r="H9" s="2"/>
      <c r="I9" s="2"/>
      <c r="J9" s="2"/>
      <c r="K9" s="2"/>
      <c r="L9" s="2"/>
      <c r="M9" s="2"/>
      <c r="N9" s="2"/>
    </row>
    <row r="10" spans="1:14" ht="18" x14ac:dyDescent="0.25">
      <c r="A10" s="44">
        <v>482470</v>
      </c>
      <c r="B10" s="3" t="s">
        <v>58</v>
      </c>
      <c r="C10" s="2"/>
      <c r="D10" s="2"/>
      <c r="E10" s="2"/>
      <c r="F10" s="3"/>
      <c r="G10" s="2"/>
      <c r="H10" s="2"/>
      <c r="I10" s="2"/>
      <c r="J10" s="2"/>
      <c r="K10" s="2"/>
      <c r="L10" s="2"/>
      <c r="M10" s="2"/>
      <c r="N10" s="2"/>
    </row>
    <row r="11" spans="1:14" ht="18" x14ac:dyDescent="0.25">
      <c r="A11" s="3" t="s">
        <v>59</v>
      </c>
      <c r="B11" s="2"/>
      <c r="C11" s="2"/>
      <c r="D11" s="2"/>
      <c r="E11" s="47"/>
      <c r="F11" s="3"/>
      <c r="G11" s="2"/>
      <c r="H11" s="2"/>
      <c r="I11" s="2"/>
      <c r="J11" s="2"/>
      <c r="K11" s="2"/>
      <c r="L11" s="2"/>
      <c r="M11" s="2"/>
      <c r="N11" s="48"/>
    </row>
    <row r="12" spans="1:14" ht="18.75" thickBot="1" x14ac:dyDescent="0.3">
      <c r="A12" s="3"/>
      <c r="B12" s="2"/>
      <c r="C12" s="2"/>
      <c r="D12" s="2"/>
      <c r="E12" s="47"/>
      <c r="F12" s="3"/>
      <c r="G12" s="2"/>
      <c r="H12" s="2"/>
      <c r="I12" s="2"/>
      <c r="J12" s="2"/>
      <c r="K12" s="2"/>
      <c r="L12" s="2"/>
      <c r="M12" s="49"/>
      <c r="N12" s="2"/>
    </row>
    <row r="13" spans="1:14" ht="18.75" thickBot="1" x14ac:dyDescent="0.3">
      <c r="A13" s="3" t="s">
        <v>60</v>
      </c>
      <c r="B13" s="2"/>
      <c r="C13" s="2"/>
      <c r="D13" s="2"/>
      <c r="E13" s="47"/>
      <c r="F13" s="3"/>
      <c r="G13" s="50">
        <v>738581.1</v>
      </c>
      <c r="H13" s="51"/>
      <c r="I13" s="2"/>
      <c r="J13" s="2"/>
      <c r="K13" s="2"/>
      <c r="L13" s="2"/>
      <c r="M13" s="2"/>
      <c r="N13" s="2"/>
    </row>
    <row r="14" spans="1:14" ht="16.5" thickBot="1" x14ac:dyDescent="0.3">
      <c r="A14" s="4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52"/>
      <c r="N14" s="2"/>
    </row>
    <row r="15" spans="1:14" ht="18.75" thickBot="1" x14ac:dyDescent="0.3">
      <c r="A15" s="3" t="s">
        <v>62</v>
      </c>
      <c r="B15" s="2"/>
      <c r="C15" s="2"/>
      <c r="D15" s="2"/>
      <c r="E15" s="2"/>
      <c r="F15" s="2"/>
      <c r="G15" s="32">
        <v>4.5100000000000001E-2</v>
      </c>
      <c r="H15" s="33"/>
      <c r="I15" s="2"/>
      <c r="J15" s="2"/>
      <c r="K15" s="2"/>
      <c r="L15" s="2"/>
      <c r="M15" s="2"/>
      <c r="N15" s="2"/>
    </row>
    <row r="16" spans="1:14" ht="18.75" thickBot="1" x14ac:dyDescent="0.3">
      <c r="A16" s="4" t="s">
        <v>63</v>
      </c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</row>
    <row r="17" spans="1:14" ht="18.75" thickBot="1" x14ac:dyDescent="0.3">
      <c r="A17" s="3" t="s">
        <v>64</v>
      </c>
      <c r="B17" s="2"/>
      <c r="C17" s="2"/>
      <c r="D17" s="2"/>
      <c r="E17" s="2"/>
      <c r="F17" s="2"/>
      <c r="G17" s="50">
        <v>796555</v>
      </c>
      <c r="H17" s="51"/>
      <c r="I17" s="2"/>
      <c r="J17" s="2"/>
      <c r="K17" s="2"/>
      <c r="L17" s="2"/>
      <c r="M17" s="2"/>
      <c r="N17" s="2"/>
    </row>
    <row r="18" spans="1:14" x14ac:dyDescent="0.25">
      <c r="A18" s="4" t="s">
        <v>61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6.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8.75" thickBot="1" x14ac:dyDescent="0.3">
      <c r="A20" s="3" t="s">
        <v>65</v>
      </c>
      <c r="B20" s="2"/>
      <c r="C20" s="2"/>
      <c r="D20" s="2"/>
      <c r="E20" s="2"/>
      <c r="F20" s="2"/>
      <c r="G20" s="53" t="s">
        <v>66</v>
      </c>
      <c r="H20" s="66" t="s">
        <v>79</v>
      </c>
      <c r="I20" s="55" t="s">
        <v>67</v>
      </c>
      <c r="J20" s="56"/>
      <c r="K20" s="56"/>
      <c r="L20" s="56"/>
      <c r="M20" s="56"/>
      <c r="N20" s="56"/>
    </row>
    <row r="21" spans="1:14" ht="18.75" thickBot="1" x14ac:dyDescent="0.3">
      <c r="A21" s="4" t="s">
        <v>68</v>
      </c>
      <c r="B21" s="2"/>
      <c r="C21" s="2"/>
      <c r="D21" s="2"/>
      <c r="E21" s="2"/>
      <c r="F21" s="2"/>
      <c r="G21" s="53" t="s">
        <v>69</v>
      </c>
      <c r="H21" s="54"/>
      <c r="I21" s="55"/>
      <c r="J21" s="56"/>
      <c r="K21" s="56"/>
      <c r="L21" s="56"/>
      <c r="M21" s="56"/>
      <c r="N21" s="56"/>
    </row>
    <row r="22" spans="1:14" ht="18" x14ac:dyDescent="0.25">
      <c r="A22" s="2"/>
      <c r="B22" s="2"/>
      <c r="C22" s="2"/>
      <c r="D22" s="2"/>
      <c r="E22" s="2"/>
      <c r="F22" s="2"/>
      <c r="G22" s="2"/>
      <c r="H22" s="57" t="s">
        <v>39</v>
      </c>
      <c r="I22" s="2"/>
      <c r="J22" s="2"/>
      <c r="K22" s="58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36" t="s">
        <v>40</v>
      </c>
      <c r="I23" s="2"/>
      <c r="J23" s="2"/>
      <c r="K23" s="59"/>
      <c r="L23" s="2"/>
      <c r="M23" s="2"/>
      <c r="N23" s="2"/>
    </row>
    <row r="24" spans="1:14" x14ac:dyDescent="0.25">
      <c r="A24" s="5" t="s">
        <v>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37"/>
      <c r="B25" s="37"/>
      <c r="C25" s="37"/>
      <c r="D25" s="60"/>
      <c r="E25" s="61"/>
      <c r="F25" s="37"/>
      <c r="G25" s="37"/>
      <c r="H25" s="37"/>
      <c r="I25" s="37"/>
      <c r="J25" s="37"/>
      <c r="K25" s="37"/>
      <c r="L25" s="37"/>
      <c r="M25" s="37"/>
      <c r="N25" s="37"/>
    </row>
    <row r="26" spans="1:14" x14ac:dyDescent="0.25">
      <c r="A26" s="37" t="s">
        <v>12</v>
      </c>
      <c r="B26" s="61" t="s">
        <v>72</v>
      </c>
      <c r="C26" s="37" t="s">
        <v>73</v>
      </c>
      <c r="D26" s="60" t="s">
        <v>74</v>
      </c>
      <c r="E26" s="61"/>
      <c r="F26" s="37"/>
      <c r="G26" s="37"/>
      <c r="H26" s="37"/>
      <c r="I26" s="37"/>
      <c r="J26" s="37"/>
      <c r="K26" s="37"/>
      <c r="L26" s="37"/>
      <c r="M26" s="37"/>
      <c r="N26" s="37"/>
    </row>
    <row r="27" spans="1:14" x14ac:dyDescent="0.25">
      <c r="A27" s="37">
        <v>0</v>
      </c>
      <c r="B27" s="61">
        <f>-(670000+(0.5*9100000))</f>
        <v>-5220000</v>
      </c>
      <c r="C27" s="37">
        <f>(1.037^-A27)</f>
        <v>1</v>
      </c>
      <c r="D27" s="60">
        <f>B27*C27</f>
        <v>-5220000</v>
      </c>
      <c r="E27" s="61"/>
      <c r="F27" s="37" t="s">
        <v>70</v>
      </c>
      <c r="G27" s="37"/>
      <c r="H27" s="37"/>
      <c r="I27" s="37"/>
      <c r="J27" s="37"/>
      <c r="K27" s="37"/>
      <c r="L27" s="37"/>
      <c r="M27" s="37"/>
      <c r="N27" s="37"/>
    </row>
    <row r="28" spans="1:14" x14ac:dyDescent="0.25">
      <c r="A28" s="37">
        <v>1</v>
      </c>
      <c r="B28" s="61">
        <f>-0.5*9100000</f>
        <v>-4550000</v>
      </c>
      <c r="C28" s="37">
        <f t="shared" ref="C28:C49" si="0">(1.037^-A28)</f>
        <v>0.96432015429122475</v>
      </c>
      <c r="D28" s="60">
        <f t="shared" ref="D28:D49" si="1">B28*C28</f>
        <v>-4387656.7020250726</v>
      </c>
      <c r="E28" s="61"/>
      <c r="F28" s="37" t="s">
        <v>71</v>
      </c>
      <c r="G28" s="37" t="s">
        <v>76</v>
      </c>
      <c r="H28" s="37" t="s">
        <v>75</v>
      </c>
      <c r="I28" s="37"/>
      <c r="J28" s="37"/>
      <c r="K28" s="37"/>
      <c r="L28" s="37"/>
      <c r="M28" s="37"/>
      <c r="N28" s="37"/>
    </row>
    <row r="29" spans="1:14" ht="18" x14ac:dyDescent="0.25">
      <c r="A29" s="37">
        <v>2</v>
      </c>
      <c r="B29" s="61">
        <v>738581.1</v>
      </c>
      <c r="C29" s="37">
        <f t="shared" si="0"/>
        <v>0.92991335997225155</v>
      </c>
      <c r="D29" s="60">
        <f t="shared" si="1"/>
        <v>686816.43231300148</v>
      </c>
      <c r="E29" s="61"/>
      <c r="F29" s="37">
        <v>0.7</v>
      </c>
      <c r="G29" s="44">
        <v>848343</v>
      </c>
      <c r="H29" s="62">
        <f>F29*G29</f>
        <v>593840.1</v>
      </c>
      <c r="I29" s="37"/>
      <c r="J29" s="37"/>
      <c r="K29" s="37"/>
      <c r="L29" s="37"/>
      <c r="M29" s="37"/>
      <c r="N29" s="37"/>
    </row>
    <row r="30" spans="1:14" ht="18" x14ac:dyDescent="0.25">
      <c r="A30" s="37">
        <v>3</v>
      </c>
      <c r="B30" s="61">
        <v>738581.1</v>
      </c>
      <c r="C30" s="37">
        <f t="shared" si="0"/>
        <v>0.89673419476591276</v>
      </c>
      <c r="D30" s="60">
        <f t="shared" si="1"/>
        <v>662310.92797782202</v>
      </c>
      <c r="E30" s="61"/>
      <c r="F30" s="37">
        <v>0.3</v>
      </c>
      <c r="G30" s="44">
        <v>482470</v>
      </c>
      <c r="H30" s="62">
        <f>F30*G30</f>
        <v>144741</v>
      </c>
      <c r="I30" s="37"/>
      <c r="J30" s="37"/>
      <c r="K30" s="37"/>
      <c r="L30" s="37"/>
      <c r="M30" s="37"/>
      <c r="N30" s="37"/>
    </row>
    <row r="31" spans="1:14" x14ac:dyDescent="0.25">
      <c r="A31" s="37">
        <v>4</v>
      </c>
      <c r="B31" s="61">
        <v>738581.1</v>
      </c>
      <c r="C31" s="37">
        <f t="shared" si="0"/>
        <v>0.86473885705488229</v>
      </c>
      <c r="D31" s="60">
        <f t="shared" si="1"/>
        <v>638679.77625633776</v>
      </c>
      <c r="E31" s="61"/>
      <c r="F31" s="37"/>
      <c r="G31" s="63" t="s">
        <v>75</v>
      </c>
      <c r="H31" s="62">
        <f>SUM(H29:H30)</f>
        <v>738581.1</v>
      </c>
      <c r="I31" s="37"/>
      <c r="J31" s="37"/>
      <c r="K31" s="37"/>
      <c r="L31" s="37"/>
      <c r="M31" s="37"/>
      <c r="N31" s="37"/>
    </row>
    <row r="32" spans="1:14" x14ac:dyDescent="0.25">
      <c r="A32" s="37">
        <v>5</v>
      </c>
      <c r="B32" s="61">
        <v>738581.1</v>
      </c>
      <c r="C32" s="37">
        <f t="shared" si="0"/>
        <v>0.8338851080567814</v>
      </c>
      <c r="D32" s="60">
        <f t="shared" si="1"/>
        <v>615891.78038219642</v>
      </c>
      <c r="E32" s="61"/>
      <c r="F32" s="37"/>
      <c r="G32" s="37"/>
      <c r="H32" s="62"/>
      <c r="I32" s="37"/>
      <c r="J32" s="37"/>
      <c r="K32" s="37"/>
      <c r="L32" s="37"/>
      <c r="M32" s="37"/>
      <c r="N32" s="37"/>
    </row>
    <row r="33" spans="1:14" x14ac:dyDescent="0.25">
      <c r="A33" s="37">
        <v>6</v>
      </c>
      <c r="B33" s="61">
        <v>738581.1</v>
      </c>
      <c r="C33" s="37">
        <f t="shared" si="0"/>
        <v>0.8041322160624701</v>
      </c>
      <c r="D33" s="60">
        <f t="shared" si="1"/>
        <v>593916.85668485682</v>
      </c>
      <c r="E33" s="61"/>
      <c r="F33" s="37"/>
      <c r="G33" s="37"/>
      <c r="H33" s="37"/>
      <c r="I33" s="37"/>
      <c r="J33" s="37"/>
      <c r="K33" s="37"/>
      <c r="L33" s="37"/>
      <c r="M33" s="37"/>
      <c r="N33" s="37"/>
    </row>
    <row r="34" spans="1:14" x14ac:dyDescent="0.25">
      <c r="A34" s="37">
        <v>7</v>
      </c>
      <c r="B34" s="61">
        <v>738581.1</v>
      </c>
      <c r="C34" s="37">
        <f t="shared" si="0"/>
        <v>0.77544090266390553</v>
      </c>
      <c r="D34" s="60">
        <f t="shared" si="1"/>
        <v>572725.9948745002</v>
      </c>
      <c r="E34" s="61"/>
      <c r="F34" s="37"/>
      <c r="G34" s="37"/>
      <c r="H34" s="37"/>
      <c r="I34" s="37"/>
      <c r="J34" s="37"/>
      <c r="K34" s="37"/>
      <c r="L34" s="37"/>
      <c r="M34" s="37"/>
      <c r="N34" s="37"/>
    </row>
    <row r="35" spans="1:14" x14ac:dyDescent="0.25">
      <c r="A35" s="37">
        <v>8</v>
      </c>
      <c r="B35" s="61">
        <v>738581.1</v>
      </c>
      <c r="C35" s="37">
        <f t="shared" si="0"/>
        <v>0.74777329090058409</v>
      </c>
      <c r="D35" s="60">
        <f t="shared" si="1"/>
        <v>552291.21974397334</v>
      </c>
      <c r="E35" s="61"/>
      <c r="F35" s="37"/>
      <c r="G35" s="37"/>
      <c r="H35" s="37"/>
      <c r="I35" s="37"/>
      <c r="J35" s="37"/>
      <c r="K35" s="37"/>
      <c r="L35" s="37"/>
      <c r="M35" s="37"/>
      <c r="N35" s="37"/>
    </row>
    <row r="36" spans="1:14" x14ac:dyDescent="0.25">
      <c r="A36" s="37">
        <v>9</v>
      </c>
      <c r="B36" s="61">
        <v>738581.1</v>
      </c>
      <c r="C36" s="37">
        <f t="shared" si="0"/>
        <v>0.72109285525610811</v>
      </c>
      <c r="D36" s="60">
        <f t="shared" si="1"/>
        <v>532585.55423719704</v>
      </c>
      <c r="E36" s="61"/>
      <c r="F36" s="37"/>
      <c r="G36" s="37"/>
      <c r="H36" s="37"/>
      <c r="I36" s="37"/>
      <c r="J36" s="37"/>
      <c r="K36" s="37"/>
      <c r="L36" s="37"/>
      <c r="M36" s="37"/>
      <c r="N36" s="37"/>
    </row>
    <row r="37" spans="1:14" x14ac:dyDescent="0.25">
      <c r="A37" s="37">
        <v>10</v>
      </c>
      <c r="B37" s="61">
        <v>738581.1</v>
      </c>
      <c r="C37" s="37">
        <f t="shared" si="0"/>
        <v>0.69536437343887003</v>
      </c>
      <c r="D37" s="60">
        <f t="shared" si="1"/>
        <v>513582.98383529141</v>
      </c>
      <c r="E37" s="61"/>
    </row>
    <row r="38" spans="1:14" x14ac:dyDescent="0.25">
      <c r="A38" s="37">
        <v>11</v>
      </c>
      <c r="B38" s="61">
        <v>738581.1</v>
      </c>
      <c r="C38" s="37">
        <f t="shared" si="0"/>
        <v>0.67055387988319193</v>
      </c>
      <c r="D38" s="60">
        <f t="shared" si="1"/>
        <v>495258.42221339577</v>
      </c>
      <c r="E38" s="61"/>
    </row>
    <row r="39" spans="1:14" x14ac:dyDescent="0.25">
      <c r="A39" s="37">
        <v>12</v>
      </c>
      <c r="B39" s="61">
        <v>738581.1</v>
      </c>
      <c r="C39" s="37">
        <f t="shared" si="0"/>
        <v>0.6466286209095391</v>
      </c>
      <c r="D39" s="60">
        <f t="shared" si="1"/>
        <v>477587.67812285037</v>
      </c>
      <c r="E39" s="61"/>
    </row>
    <row r="40" spans="1:14" x14ac:dyDescent="0.25">
      <c r="A40" s="37">
        <v>13</v>
      </c>
      <c r="B40" s="61">
        <v>738581.1</v>
      </c>
      <c r="C40" s="37">
        <f t="shared" si="0"/>
        <v>0.62355701148460851</v>
      </c>
      <c r="D40" s="60">
        <f t="shared" si="1"/>
        <v>460547.42345501477</v>
      </c>
      <c r="E40" s="61"/>
    </row>
    <row r="41" spans="1:14" x14ac:dyDescent="0.25">
      <c r="A41" s="37">
        <v>14</v>
      </c>
      <c r="B41" s="61">
        <v>738581.1</v>
      </c>
      <c r="C41" s="37">
        <f t="shared" si="0"/>
        <v>0.60130859352421284</v>
      </c>
      <c r="D41" s="60">
        <f t="shared" si="1"/>
        <v>444115.16244456597</v>
      </c>
      <c r="E41" s="61"/>
    </row>
    <row r="42" spans="1:14" x14ac:dyDescent="0.25">
      <c r="A42" s="37">
        <v>15</v>
      </c>
      <c r="B42" s="61">
        <v>738581.1</v>
      </c>
      <c r="C42" s="37">
        <f t="shared" si="0"/>
        <v>0.57985399568390816</v>
      </c>
      <c r="D42" s="60">
        <f t="shared" si="1"/>
        <v>428269.20197161613</v>
      </c>
      <c r="E42" s="61"/>
    </row>
    <row r="43" spans="1:14" x14ac:dyDescent="0.25">
      <c r="A43" s="37">
        <v>16</v>
      </c>
      <c r="B43" s="61">
        <v>738581.1</v>
      </c>
      <c r="C43" s="37">
        <f t="shared" si="0"/>
        <v>0.55916489458428953</v>
      </c>
      <c r="D43" s="60">
        <f t="shared" si="1"/>
        <v>412988.62292344857</v>
      </c>
      <c r="E43" s="61"/>
    </row>
    <row r="44" spans="1:14" x14ac:dyDescent="0.25">
      <c r="A44" s="37">
        <v>17</v>
      </c>
      <c r="B44" s="61">
        <v>738581.1</v>
      </c>
      <c r="C44" s="37">
        <f t="shared" si="0"/>
        <v>0.53921397741975852</v>
      </c>
      <c r="D44" s="60">
        <f t="shared" si="1"/>
        <v>398253.25257806038</v>
      </c>
      <c r="E44" s="61"/>
    </row>
    <row r="45" spans="1:14" x14ac:dyDescent="0.25">
      <c r="A45" s="37">
        <v>18</v>
      </c>
      <c r="B45" s="61">
        <v>738581.1</v>
      </c>
      <c r="C45" s="37">
        <f t="shared" si="0"/>
        <v>0.51997490590140649</v>
      </c>
      <c r="D45" s="60">
        <f t="shared" si="1"/>
        <v>384043.63797305728</v>
      </c>
      <c r="E45" s="61"/>
    </row>
    <row r="46" spans="1:14" x14ac:dyDescent="0.25">
      <c r="A46" s="37">
        <v>19</v>
      </c>
      <c r="B46" s="61">
        <v>738581.1</v>
      </c>
      <c r="C46" s="37">
        <f t="shared" si="0"/>
        <v>0.50142228148640933</v>
      </c>
      <c r="D46" s="60">
        <f t="shared" si="1"/>
        <v>370341.02022474183</v>
      </c>
      <c r="E46" s="61"/>
    </row>
    <row r="47" spans="1:14" x14ac:dyDescent="0.25">
      <c r="A47" s="37">
        <v>20</v>
      </c>
      <c r="B47" s="61">
        <v>738581.1</v>
      </c>
      <c r="C47" s="37">
        <f t="shared" si="0"/>
        <v>0.48353161184803228</v>
      </c>
      <c r="D47" s="60">
        <f t="shared" si="1"/>
        <v>357127.30976349273</v>
      </c>
      <c r="E47" s="61"/>
    </row>
    <row r="48" spans="1:14" x14ac:dyDescent="0.25">
      <c r="A48" s="37">
        <v>21</v>
      </c>
      <c r="B48" s="61">
        <v>738581.1</v>
      </c>
      <c r="C48" s="37">
        <f t="shared" si="0"/>
        <v>0.46627927854197904</v>
      </c>
      <c r="D48" s="60">
        <f t="shared" si="1"/>
        <v>344385.06245274126</v>
      </c>
      <c r="E48" s="61"/>
    </row>
    <row r="49" spans="1:5" x14ac:dyDescent="0.25">
      <c r="A49" s="37">
        <v>22</v>
      </c>
      <c r="B49" s="61">
        <f>738581.1+290000</f>
        <v>1028581.1</v>
      </c>
      <c r="C49" s="37">
        <f t="shared" si="0"/>
        <v>0.44964250582640219</v>
      </c>
      <c r="D49" s="60">
        <f t="shared" si="1"/>
        <v>462493.78324967716</v>
      </c>
      <c r="E49" s="61"/>
    </row>
    <row r="50" spans="1:5" x14ac:dyDescent="0.25">
      <c r="C50" t="s">
        <v>77</v>
      </c>
      <c r="D50" s="64">
        <f>SUM(D27:D49)</f>
        <v>796555.40165276616</v>
      </c>
      <c r="E50" s="61"/>
    </row>
    <row r="51" spans="1:5" x14ac:dyDescent="0.25">
      <c r="C51" t="s">
        <v>78</v>
      </c>
      <c r="D51" s="65">
        <f>IRR(B27:B49)</f>
        <v>4.511018480003548E-2</v>
      </c>
      <c r="E51" s="61"/>
    </row>
    <row r="52" spans="1:5" x14ac:dyDescent="0.25">
      <c r="E52" s="61"/>
    </row>
  </sheetData>
  <mergeCells count="4">
    <mergeCell ref="G13:H13"/>
    <mergeCell ref="G15:H15"/>
    <mergeCell ref="G17:H17"/>
    <mergeCell ref="I20:N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tabSelected="1" workbookViewId="0">
      <selection activeCell="M24" sqref="M24"/>
    </sheetView>
  </sheetViews>
  <sheetFormatPr defaultRowHeight="15.75" x14ac:dyDescent="0.25"/>
  <sheetData>
    <row r="2" spans="2:10" ht="26.25" x14ac:dyDescent="0.25">
      <c r="B2" s="90" t="s">
        <v>12</v>
      </c>
      <c r="C2" s="90" t="s">
        <v>92</v>
      </c>
      <c r="D2" s="90" t="s">
        <v>93</v>
      </c>
      <c r="E2" s="90" t="s">
        <v>94</v>
      </c>
      <c r="F2" s="90" t="s">
        <v>95</v>
      </c>
      <c r="G2" s="90" t="s">
        <v>96</v>
      </c>
      <c r="H2" s="90"/>
      <c r="I2" s="17" t="s">
        <v>14</v>
      </c>
    </row>
    <row r="3" spans="2:10" x14ac:dyDescent="0.25">
      <c r="B3" s="90">
        <v>1</v>
      </c>
      <c r="C3" s="90">
        <v>-1.0999999999999999E-2</v>
      </c>
      <c r="D3" s="92">
        <v>-1.6999999999999999E-3</v>
      </c>
      <c r="E3" s="92">
        <v>1.18E-2</v>
      </c>
      <c r="F3" s="91">
        <v>-2.0299999999999999E-2</v>
      </c>
      <c r="G3">
        <f>AVERAGE(C3:F3)</f>
        <v>-5.2999999999999992E-3</v>
      </c>
      <c r="I3" s="18">
        <v>-0.7</v>
      </c>
    </row>
    <row r="4" spans="2:10" x14ac:dyDescent="0.25">
      <c r="B4" s="90">
        <v>2</v>
      </c>
      <c r="C4" s="90">
        <v>0.17960000000000001</v>
      </c>
      <c r="D4" s="92">
        <v>4.5949999999999998E-2</v>
      </c>
      <c r="E4" s="92">
        <v>-3.585E-2</v>
      </c>
      <c r="F4" s="91">
        <v>0.2656</v>
      </c>
      <c r="G4">
        <f t="shared" ref="G4:G14" si="0">AVERAGE(C4:F4)</f>
        <v>0.11382500000000001</v>
      </c>
      <c r="H4">
        <f>(G4-G3)/G3</f>
        <v>-22.476415094339629</v>
      </c>
      <c r="I4" s="18">
        <v>8.83</v>
      </c>
      <c r="J4">
        <f>(I4-I3)/I3</f>
        <v>-13.614285714285714</v>
      </c>
    </row>
    <row r="5" spans="2:10" x14ac:dyDescent="0.25">
      <c r="B5" s="90">
        <v>3</v>
      </c>
      <c r="C5" s="90">
        <v>0.24900000000000003</v>
      </c>
      <c r="D5" s="92">
        <v>6.3299999999999995E-2</v>
      </c>
      <c r="E5" s="92">
        <v>-5.3200000000000004E-2</v>
      </c>
      <c r="F5" s="91">
        <v>0.36970000000000008</v>
      </c>
      <c r="G5">
        <f t="shared" si="0"/>
        <v>0.15720000000000001</v>
      </c>
      <c r="H5">
        <f t="shared" ref="H5:H14" si="1">(G5-G4)/G4</f>
        <v>0.38106742806940475</v>
      </c>
      <c r="I5" s="18">
        <v>12.3</v>
      </c>
      <c r="J5">
        <f t="shared" ref="J5:J14" si="2">(I5-I4)/I4</f>
        <v>0.3929784824462062</v>
      </c>
    </row>
    <row r="6" spans="2:10" x14ac:dyDescent="0.25">
      <c r="B6" s="90">
        <v>4</v>
      </c>
      <c r="C6" s="90">
        <v>0.28900000000000003</v>
      </c>
      <c r="D6" s="92">
        <v>7.3300000000000004E-2</v>
      </c>
      <c r="E6" s="92">
        <v>-6.3200000000000006E-2</v>
      </c>
      <c r="F6" s="91">
        <v>0.42970000000000008</v>
      </c>
      <c r="G6">
        <f t="shared" si="0"/>
        <v>0.18220000000000003</v>
      </c>
      <c r="H6">
        <f t="shared" si="1"/>
        <v>0.15903307888040727</v>
      </c>
      <c r="I6" s="18">
        <v>14.3</v>
      </c>
      <c r="J6">
        <f t="shared" si="2"/>
        <v>0.16260162601626016</v>
      </c>
    </row>
    <row r="7" spans="2:10" x14ac:dyDescent="0.25">
      <c r="B7" s="90">
        <v>5</v>
      </c>
      <c r="C7" s="90">
        <v>-0.29699999999999999</v>
      </c>
      <c r="D7" s="92">
        <v>-7.3200000000000001E-2</v>
      </c>
      <c r="E7" s="92">
        <v>8.3299999999999999E-2</v>
      </c>
      <c r="F7" s="91">
        <v>-0.44929999999999998</v>
      </c>
      <c r="G7">
        <f t="shared" si="0"/>
        <v>-0.18404999999999999</v>
      </c>
      <c r="H7">
        <f t="shared" si="1"/>
        <v>-2.0101536772777164</v>
      </c>
      <c r="I7" s="18">
        <v>-15</v>
      </c>
      <c r="J7">
        <f t="shared" si="2"/>
        <v>-2.0489510489510487</v>
      </c>
    </row>
    <row r="8" spans="2:10" x14ac:dyDescent="0.25">
      <c r="B8" s="90">
        <v>6</v>
      </c>
      <c r="C8" s="90">
        <v>0.31940000000000002</v>
      </c>
      <c r="D8" s="92">
        <v>8.09E-2</v>
      </c>
      <c r="E8" s="92">
        <v>-7.0800000000000002E-2</v>
      </c>
      <c r="F8" s="91">
        <v>0.4753</v>
      </c>
      <c r="G8">
        <f t="shared" si="0"/>
        <v>0.20119999999999999</v>
      </c>
      <c r="H8">
        <f t="shared" si="1"/>
        <v>-2.0931812007606627</v>
      </c>
      <c r="I8" s="18">
        <v>15.82</v>
      </c>
      <c r="J8">
        <f t="shared" si="2"/>
        <v>-2.0546666666666669</v>
      </c>
    </row>
    <row r="9" spans="2:10" x14ac:dyDescent="0.25">
      <c r="B9" s="90">
        <v>7</v>
      </c>
      <c r="C9" s="90">
        <v>0.25740000000000002</v>
      </c>
      <c r="D9" s="92">
        <v>6.54E-2</v>
      </c>
      <c r="E9" s="92">
        <v>-5.5300000000000002E-2</v>
      </c>
      <c r="F9" s="91">
        <v>0.38230000000000003</v>
      </c>
      <c r="G9">
        <f t="shared" si="0"/>
        <v>0.16245000000000001</v>
      </c>
      <c r="H9">
        <f t="shared" si="1"/>
        <v>-0.19259443339960228</v>
      </c>
      <c r="I9" s="18">
        <v>12.72</v>
      </c>
      <c r="J9">
        <f t="shared" si="2"/>
        <v>-0.19595448798988618</v>
      </c>
    </row>
    <row r="10" spans="2:10" x14ac:dyDescent="0.25">
      <c r="B10" s="90">
        <v>8</v>
      </c>
      <c r="C10" s="90">
        <v>0.26419999999999999</v>
      </c>
      <c r="D10" s="92">
        <v>6.7099999999999993E-2</v>
      </c>
      <c r="E10" s="92">
        <v>-5.7000000000000002E-2</v>
      </c>
      <c r="F10" s="91">
        <v>0.39250000000000002</v>
      </c>
      <c r="G10">
        <f t="shared" si="0"/>
        <v>0.16670000000000001</v>
      </c>
      <c r="H10">
        <f t="shared" si="1"/>
        <v>2.6161895967990172E-2</v>
      </c>
      <c r="I10" s="18">
        <v>13.06</v>
      </c>
      <c r="J10">
        <f t="shared" si="2"/>
        <v>2.672955974842766E-2</v>
      </c>
    </row>
    <row r="11" spans="2:10" x14ac:dyDescent="0.25">
      <c r="B11" s="90">
        <v>9</v>
      </c>
      <c r="C11" s="90">
        <v>7.6999999999999999E-2</v>
      </c>
      <c r="D11" s="92">
        <v>2.0300000000000002E-2</v>
      </c>
      <c r="E11" s="92">
        <v>-1.0200000000000001E-2</v>
      </c>
      <c r="F11" s="91">
        <v>0.11170000000000002</v>
      </c>
      <c r="G11">
        <f t="shared" si="0"/>
        <v>4.9700000000000008E-2</v>
      </c>
      <c r="H11">
        <f t="shared" si="1"/>
        <v>-0.70185962807438507</v>
      </c>
      <c r="I11" s="18">
        <v>3.7</v>
      </c>
      <c r="J11">
        <f t="shared" si="2"/>
        <v>-0.71669218989280237</v>
      </c>
    </row>
    <row r="12" spans="2:10" x14ac:dyDescent="0.25">
      <c r="B12" s="90">
        <v>10</v>
      </c>
      <c r="C12" s="90">
        <v>0.1996</v>
      </c>
      <c r="D12" s="92">
        <v>5.0949999999999995E-2</v>
      </c>
      <c r="E12" s="92">
        <v>-4.0849999999999997E-2</v>
      </c>
      <c r="F12" s="91">
        <v>0.29560000000000003</v>
      </c>
      <c r="G12">
        <f t="shared" si="0"/>
        <v>0.12632500000000002</v>
      </c>
      <c r="H12">
        <f t="shared" si="1"/>
        <v>1.5417505030181087</v>
      </c>
      <c r="I12" s="21">
        <v>9.83</v>
      </c>
      <c r="J12">
        <f t="shared" si="2"/>
        <v>1.6567567567567567</v>
      </c>
    </row>
    <row r="13" spans="2:10" x14ac:dyDescent="0.25">
      <c r="B13" s="90">
        <v>11</v>
      </c>
      <c r="C13" s="90">
        <v>-0.11559999999999998</v>
      </c>
      <c r="D13" s="92">
        <v>-2.7849999999999996E-2</v>
      </c>
      <c r="E13" s="92">
        <v>3.7949999999999998E-2</v>
      </c>
      <c r="F13" s="91">
        <v>-0.1772</v>
      </c>
      <c r="G13">
        <f t="shared" si="0"/>
        <v>-7.0674999999999988E-2</v>
      </c>
      <c r="H13">
        <f t="shared" si="1"/>
        <v>-1.5594696220067286</v>
      </c>
      <c r="I13" s="18">
        <v>-5.93</v>
      </c>
      <c r="J13">
        <f t="shared" si="2"/>
        <v>-1.6032553407934893</v>
      </c>
    </row>
    <row r="14" spans="2:10" x14ac:dyDescent="0.25">
      <c r="B14" s="90">
        <v>12</v>
      </c>
      <c r="C14" s="90">
        <v>-0.13699999999999998</v>
      </c>
      <c r="D14" s="97">
        <v>-3.32E-2</v>
      </c>
      <c r="E14" s="97">
        <v>4.3299999999999998E-2</v>
      </c>
      <c r="F14" s="98">
        <v>-0.20929999999999999</v>
      </c>
      <c r="G14">
        <f t="shared" si="0"/>
        <v>-8.4049999999999986E-2</v>
      </c>
      <c r="H14">
        <f t="shared" si="1"/>
        <v>0.1892465511142554</v>
      </c>
      <c r="I14" s="18">
        <v>-7</v>
      </c>
      <c r="J14">
        <f t="shared" si="2"/>
        <v>0.18043844856661051</v>
      </c>
    </row>
    <row r="16" spans="2:10" x14ac:dyDescent="0.25">
      <c r="G16" t="s">
        <v>99</v>
      </c>
      <c r="H16">
        <f>VAR(H4:H14)</f>
        <v>45.417192636780115</v>
      </c>
    </row>
    <row r="17" spans="6:9" x14ac:dyDescent="0.25">
      <c r="G17" t="s">
        <v>103</v>
      </c>
      <c r="H17">
        <f>COVAR(H4:H14,J4:J14)</f>
        <v>25.175131144087359</v>
      </c>
    </row>
    <row r="18" spans="6:9" x14ac:dyDescent="0.25">
      <c r="G18" t="s">
        <v>18</v>
      </c>
      <c r="H18">
        <f>H17/H16</f>
        <v>0.55430839473992133</v>
      </c>
    </row>
    <row r="20" spans="6:9" x14ac:dyDescent="0.25">
      <c r="G20" t="s">
        <v>102</v>
      </c>
      <c r="H20" t="s">
        <v>18</v>
      </c>
      <c r="I20" t="s">
        <v>106</v>
      </c>
    </row>
    <row r="21" spans="6:9" x14ac:dyDescent="0.25">
      <c r="F21" t="s">
        <v>104</v>
      </c>
      <c r="G21">
        <f>9000/(9000+2250)</f>
        <v>0.8</v>
      </c>
      <c r="H21">
        <v>0.55000000000000004</v>
      </c>
      <c r="I21">
        <f>G21*H21</f>
        <v>0.44000000000000006</v>
      </c>
    </row>
    <row r="22" spans="6:9" x14ac:dyDescent="0.25">
      <c r="F22" t="s">
        <v>105</v>
      </c>
      <c r="G22">
        <f>2250/(9000+2250)</f>
        <v>0.2</v>
      </c>
      <c r="H22">
        <v>0.66</v>
      </c>
      <c r="I22">
        <f>G22*H22</f>
        <v>0.13200000000000001</v>
      </c>
    </row>
    <row r="23" spans="6:9" ht="16.5" thickBot="1" x14ac:dyDescent="0.3">
      <c r="F23" t="s">
        <v>107</v>
      </c>
      <c r="I23" s="105">
        <f>SUM(I21:I22)</f>
        <v>0.57200000000000006</v>
      </c>
    </row>
    <row r="24" spans="6:9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</vt:lpstr>
      <vt:lpstr>Q5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2020-07-31T13:47:31Z</dcterms:created>
  <dcterms:modified xsi:type="dcterms:W3CDTF">2020-07-31T15:42:21Z</dcterms:modified>
</cp:coreProperties>
</file>